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60" windowHeight="11640" activeTab="0"/>
  </bookViews>
  <sheets>
    <sheet name="Итог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DDV</author>
  </authors>
  <commentList>
    <comment ref="AT24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нарушение ПДД
</t>
        </r>
      </text>
    </comment>
    <comment ref="BF10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задет пилон
</t>
        </r>
      </text>
    </comment>
    <comment ref="BF17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сбит пилон
</t>
        </r>
      </text>
    </comment>
    <comment ref="AT21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нарушение ПДД
</t>
        </r>
      </text>
    </comment>
    <comment ref="R22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нет финиша базы</t>
        </r>
      </text>
    </comment>
    <comment ref="AT15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нарушение ПДД
</t>
        </r>
      </text>
    </comment>
    <comment ref="R33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поломка КПП</t>
        </r>
      </text>
    </comment>
    <comment ref="R28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нет финиша базы</t>
        </r>
      </text>
    </comment>
    <comment ref="R32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нет финиша базы</t>
        </r>
      </text>
    </comment>
    <comment ref="BB32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 стартовал</t>
        </r>
      </text>
    </comment>
    <comment ref="BE32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 стартовал</t>
        </r>
      </text>
    </comment>
    <comment ref="BF8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сбит пилон
</t>
        </r>
      </text>
    </comment>
    <comment ref="AP25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прохождение СКП в не 
правильном направлении</t>
        </r>
      </text>
    </comment>
    <comment ref="BF25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нет финиа базой
</t>
        </r>
      </text>
    </comment>
    <comment ref="R16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нет финиша базы</t>
        </r>
      </text>
    </comment>
    <comment ref="BF18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сбит пилон
нет финиша базы</t>
        </r>
      </text>
    </comment>
    <comment ref="BE29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 стартовал</t>
        </r>
      </text>
    </comment>
    <comment ref="M11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уточнить - в протоколе есть запись</t>
        </r>
      </text>
    </comment>
    <comment ref="BE31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 стартовал</t>
        </r>
      </text>
    </comment>
    <comment ref="BE20" authorId="0">
      <text>
        <r>
          <rPr>
            <b/>
            <sz val="8"/>
            <rFont val="Tahoma"/>
            <family val="0"/>
          </rPr>
          <t>DDV:</t>
        </r>
        <r>
          <rPr>
            <sz val="8"/>
            <rFont val="Tahoma"/>
            <family val="0"/>
          </rPr>
          <t xml:space="preserve">
не стартовал</t>
        </r>
      </text>
    </comment>
  </commentList>
</comments>
</file>

<file path=xl/sharedStrings.xml><?xml version="1.0" encoding="utf-8"?>
<sst xmlns="http://schemas.openxmlformats.org/spreadsheetml/2006/main" count="273" uniqueCount="168">
  <si>
    <t>УРЫВСКИЙ Василий</t>
  </si>
  <si>
    <t>ЗНАК Максим</t>
  </si>
  <si>
    <t>Минск, Беларусь</t>
  </si>
  <si>
    <t>Понтиак Боневиль</t>
  </si>
  <si>
    <t>НЕЧАЙ Алексей</t>
  </si>
  <si>
    <t>ЗИМ М-12</t>
  </si>
  <si>
    <t>ШУМСКАЯ Жанна</t>
  </si>
  <si>
    <t>ЖЛОБО Сергей</t>
  </si>
  <si>
    <t>ФОРД Мустанг</t>
  </si>
  <si>
    <t>МАЛАМУЖ Евгений</t>
  </si>
  <si>
    <t>АКСЕНОВ Сергей</t>
  </si>
  <si>
    <t>Витебск, Беларусь</t>
  </si>
  <si>
    <t>ГАЗ 24</t>
  </si>
  <si>
    <t>ГОНЧАРИК Артем</t>
  </si>
  <si>
    <t>КОЛЯГО Михаил</t>
  </si>
  <si>
    <t>ГАЗ 69</t>
  </si>
  <si>
    <t>НОВИЦКИЙ Павел</t>
  </si>
  <si>
    <t>ВОЙТОВИЧ Михаил</t>
  </si>
  <si>
    <t>Волга М-21</t>
  </si>
  <si>
    <t>ШИФ Юрий</t>
  </si>
  <si>
    <t>РУДНИЦКИЙ Андрей</t>
  </si>
  <si>
    <t>ПРОТАСЕНЯ Владимир</t>
  </si>
  <si>
    <t>МАКАРЕВИЧ Сергей</t>
  </si>
  <si>
    <t>Слуцк, Беларусь</t>
  </si>
  <si>
    <t>М-20 Победа</t>
  </si>
  <si>
    <t>ЗЕЗЮЛЯ Михаил</t>
  </si>
  <si>
    <t>ЯНУКЕНАС Андрей</t>
  </si>
  <si>
    <t>ЗИЛ 41047</t>
  </si>
  <si>
    <t>ВОЛКОВА Ксения</t>
  </si>
  <si>
    <t>МУРАШКЕВИЧ Владислав</t>
  </si>
  <si>
    <t>Фольксваген Кефер "ЖУК"</t>
  </si>
  <si>
    <t>МАСЛОВ Анатолий</t>
  </si>
  <si>
    <t>СТУКАНОВ Игорь</t>
  </si>
  <si>
    <t>ЗАЗ 966</t>
  </si>
  <si>
    <t>ТУБОЛЕЦ Олег</t>
  </si>
  <si>
    <t>ФИЛОНЮК Михаил</t>
  </si>
  <si>
    <t>ЗАЗ 965</t>
  </si>
  <si>
    <t>ПОЛИЩУК Геннадий</t>
  </si>
  <si>
    <t>МИНДЕЛЬ Шимшон-Ярослав</t>
  </si>
  <si>
    <t>T-Bird</t>
  </si>
  <si>
    <t>ХУДОЖНИКОВ Максим</t>
  </si>
  <si>
    <t>ИЛЬЯЩУК Антон</t>
  </si>
  <si>
    <t>Buick Riviera</t>
  </si>
  <si>
    <t>ХАЛЕЦКИЙ Анатолий</t>
  </si>
  <si>
    <t>ХАЛЕЦКАЯ Евгения</t>
  </si>
  <si>
    <t>Bently Rolls-Royce Silver Cloud I</t>
  </si>
  <si>
    <t>ШТЕРЕНБЕРГ Дмитрий</t>
  </si>
  <si>
    <t>КОНЧАКОВСКИЙ Александр</t>
  </si>
  <si>
    <t>Санкт-Петербург, Россия</t>
  </si>
  <si>
    <t>ГАЗ 21 И</t>
  </si>
  <si>
    <t>ШУРИН Александр</t>
  </si>
  <si>
    <t>ЦИМАНОВА Наталья</t>
  </si>
  <si>
    <t>Cadillac Deville</t>
  </si>
  <si>
    <t>КАЗАК Олег</t>
  </si>
  <si>
    <t>СОГНЯЕВ Алексей</t>
  </si>
  <si>
    <t>Мерседес</t>
  </si>
  <si>
    <t>СУШКЕВИЧ Юрий</t>
  </si>
  <si>
    <t>ЗНАК Александр</t>
  </si>
  <si>
    <t>Oldsmobile-88</t>
  </si>
  <si>
    <t>ЛОНСКИЙ владимир</t>
  </si>
  <si>
    <t>ГАПАНЕНОК Виктор</t>
  </si>
  <si>
    <t>Новополоцк-Полоцк, Беларусь</t>
  </si>
  <si>
    <t>Москвич-401</t>
  </si>
  <si>
    <t>ЛАХМАНОВ Евгений</t>
  </si>
  <si>
    <t>ЛАХМАНОВА Надежда</t>
  </si>
  <si>
    <t>Линкольн-Континенталь</t>
  </si>
  <si>
    <t>ШАБЛОВСКИЙ Сергей</t>
  </si>
  <si>
    <t>РОМАНОВСКИЙ Андрей</t>
  </si>
  <si>
    <t>Кадиллак Эльдорадо</t>
  </si>
  <si>
    <t>УРЫВСКИЙ Евгений</t>
  </si>
  <si>
    <t>ВИНЦКЕВИЧ Лидия</t>
  </si>
  <si>
    <t>Ситроен DS</t>
  </si>
  <si>
    <t>ПАВЛЮЩИК Евгений</t>
  </si>
  <si>
    <t>МАТВИЕВСКАЯ Аллушка</t>
  </si>
  <si>
    <t>ПРОЦЕНКО Андрей</t>
  </si>
  <si>
    <t>ШАЛАТОНИНА Марина</t>
  </si>
  <si>
    <t>ЗИЛ 115</t>
  </si>
  <si>
    <t>МАХАНЬКОВ Николай</t>
  </si>
  <si>
    <t>СМОЛЬСКИЙ Евгений</t>
  </si>
  <si>
    <t>Опель Супер-6</t>
  </si>
  <si>
    <t>ГОНЧАРИК Сергей</t>
  </si>
  <si>
    <t>ФИЛИТАРИН Славомир</t>
  </si>
  <si>
    <t>ГАЗ 67</t>
  </si>
  <si>
    <t>ХИОНИ Сергей</t>
  </si>
  <si>
    <t>ШУППКО Игорь</t>
  </si>
  <si>
    <t>Минск-Ждановичи, Беларусь</t>
  </si>
  <si>
    <t>ГАЗ М-20</t>
  </si>
  <si>
    <t>Новогрудок-Брест, Беларусь</t>
  </si>
  <si>
    <t>БУРЛАЕВ Сергей</t>
  </si>
  <si>
    <t>БУРЛАЕВ Никита</t>
  </si>
  <si>
    <t>ЗАЗ 968</t>
  </si>
  <si>
    <t>ст. №</t>
  </si>
  <si>
    <t>Пилот</t>
  </si>
  <si>
    <t>Штурман</t>
  </si>
  <si>
    <t>Страна, город</t>
  </si>
  <si>
    <t>Авто</t>
  </si>
  <si>
    <t>объем двигателя</t>
  </si>
  <si>
    <t>г.в.</t>
  </si>
  <si>
    <t>СЕКЦИЯ 1</t>
  </si>
  <si>
    <t>СЕКЦИЯ 2</t>
  </si>
  <si>
    <t>КВ-0</t>
  </si>
  <si>
    <t>КВ-1</t>
  </si>
  <si>
    <r>
      <t xml:space="preserve">ДС-1 </t>
    </r>
    <r>
      <rPr>
        <sz val="8"/>
        <rFont val="Arial Cyr"/>
        <family val="0"/>
      </rPr>
      <t>Боровляны (слалом)</t>
    </r>
    <r>
      <rPr>
        <b/>
        <sz val="12"/>
        <rFont val="Arial Cyr"/>
        <family val="0"/>
      </rPr>
      <t xml:space="preserve"> </t>
    </r>
  </si>
  <si>
    <t>СКВ</t>
  </si>
  <si>
    <t>КВ-2</t>
  </si>
  <si>
    <t>КВ-3</t>
  </si>
  <si>
    <t>СКП</t>
  </si>
  <si>
    <t>КВ-4</t>
  </si>
  <si>
    <t>Результаты</t>
  </si>
  <si>
    <t>КВ-5</t>
  </si>
  <si>
    <t xml:space="preserve">ДС-4 </t>
  </si>
  <si>
    <t>ДС-5</t>
  </si>
  <si>
    <t>КВ-6</t>
  </si>
  <si>
    <t>ИТОГ</t>
  </si>
  <si>
    <t>отставание от лидера</t>
  </si>
  <si>
    <t>отставание от предыд.</t>
  </si>
  <si>
    <t>место</t>
  </si>
  <si>
    <r>
      <t xml:space="preserve"> </t>
    </r>
    <r>
      <rPr>
        <sz val="8"/>
        <rFont val="Arial Cyr"/>
        <family val="0"/>
      </rPr>
      <t>назн. время</t>
    </r>
  </si>
  <si>
    <t>время отметки</t>
  </si>
  <si>
    <r>
      <t xml:space="preserve">штраф </t>
    </r>
    <r>
      <rPr>
        <sz val="8"/>
        <color indexed="10"/>
        <rFont val="Arial Cyr"/>
        <family val="0"/>
      </rPr>
      <t>откл. от времени</t>
    </r>
    <r>
      <rPr>
        <sz val="8"/>
        <color indexed="22"/>
        <rFont val="Arial Cyr"/>
        <family val="0"/>
      </rPr>
      <t xml:space="preserve"> </t>
    </r>
  </si>
  <si>
    <t>опоз-дание</t>
  </si>
  <si>
    <t>штраф</t>
  </si>
  <si>
    <r>
      <t xml:space="preserve">штраф </t>
    </r>
    <r>
      <rPr>
        <sz val="8"/>
        <color indexed="10"/>
        <rFont val="Arial Cyr"/>
        <family val="0"/>
      </rPr>
      <t>откл. от времени</t>
    </r>
  </si>
  <si>
    <t>время прохожд</t>
  </si>
  <si>
    <t>время</t>
  </si>
  <si>
    <r>
      <t xml:space="preserve">штраф </t>
    </r>
    <r>
      <rPr>
        <sz val="8"/>
        <color indexed="10"/>
        <rFont val="Arial Cyr"/>
        <family val="0"/>
      </rPr>
      <t>откл.от времени</t>
    </r>
  </si>
  <si>
    <t>старт</t>
  </si>
  <si>
    <t>финиш</t>
  </si>
  <si>
    <r>
      <t xml:space="preserve">штраф </t>
    </r>
    <r>
      <rPr>
        <sz val="8"/>
        <color indexed="10"/>
        <rFont val="Arial Cyr"/>
        <family val="0"/>
      </rPr>
      <t>промеж. расчет</t>
    </r>
  </si>
  <si>
    <t>опоз- дание</t>
  </si>
  <si>
    <t xml:space="preserve">СУММА ШТРАФА </t>
  </si>
  <si>
    <r>
      <t xml:space="preserve">штраф </t>
    </r>
    <r>
      <rPr>
        <sz val="8"/>
        <color indexed="10"/>
        <rFont val="Arial Cyr"/>
        <family val="0"/>
      </rPr>
      <t>за прохождение ДС</t>
    </r>
  </si>
  <si>
    <r>
      <t xml:space="preserve">премия </t>
    </r>
    <r>
      <rPr>
        <sz val="8"/>
        <color indexed="10"/>
        <rFont val="Arial Cyr"/>
        <family val="0"/>
      </rPr>
      <t xml:space="preserve">за прохождение ДС </t>
    </r>
  </si>
  <si>
    <t>норма вр.</t>
  </si>
  <si>
    <t>12:01</t>
  </si>
  <si>
    <t>*</t>
  </si>
  <si>
    <t>12:49</t>
  </si>
  <si>
    <t>12:09</t>
  </si>
  <si>
    <t>12:31</t>
  </si>
  <si>
    <t>12:35</t>
  </si>
  <si>
    <t>12:07</t>
  </si>
  <si>
    <t>12:51</t>
  </si>
  <si>
    <t>12:11</t>
  </si>
  <si>
    <t>НАВОЛОЦКИЙ Андрей</t>
  </si>
  <si>
    <t>12:03</t>
  </si>
  <si>
    <t>12:45</t>
  </si>
  <si>
    <t>12:21</t>
  </si>
  <si>
    <t>12:41</t>
  </si>
  <si>
    <t>12:13</t>
  </si>
  <si>
    <t>12:43</t>
  </si>
  <si>
    <t>12:39</t>
  </si>
  <si>
    <t>12:55</t>
  </si>
  <si>
    <t>12:15</t>
  </si>
  <si>
    <t>12:17</t>
  </si>
  <si>
    <t>12:33</t>
  </si>
  <si>
    <t>12:05</t>
  </si>
  <si>
    <t>12:37</t>
  </si>
  <si>
    <t>12:19</t>
  </si>
  <si>
    <t>12:27</t>
  </si>
  <si>
    <t>12:25</t>
  </si>
  <si>
    <t>12:47</t>
  </si>
  <si>
    <t>12:53</t>
  </si>
  <si>
    <t>12:29</t>
  </si>
  <si>
    <t>12:23</t>
  </si>
  <si>
    <t>сх</t>
  </si>
  <si>
    <t>сход</t>
  </si>
  <si>
    <r>
      <t>ДС-2</t>
    </r>
  </si>
  <si>
    <r>
      <t>ДС-3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</si>
</sst>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ss"/>
    <numFmt numFmtId="165" formatCode="h:mm;@"/>
    <numFmt numFmtId="166" formatCode="[$-F400]h:mm:ss\ AM/PM"/>
    <numFmt numFmtId="167" formatCode="h:mm:ss.0"/>
    <numFmt numFmtId="168" formatCode="[$-FC19]d\ mmmm\ yyyy\ &quot;г.&quot;"/>
    <numFmt numFmtId="169" formatCode="0.0000"/>
    <numFmt numFmtId="170" formatCode="0.000000000000000"/>
    <numFmt numFmtId="171" formatCode="mm"/>
    <numFmt numFmtId="172" formatCode="h:mm:ss;@"/>
    <numFmt numFmtId="173" formatCode="mm:ss;@"/>
    <numFmt numFmtId="174" formatCode="mm:ss.0;@"/>
    <numFmt numFmtId="175" formatCode="0.0"/>
    <numFmt numFmtId="176" formatCode="h:mm:ss\,ms;"/>
    <numFmt numFmtId="177" formatCode="h:mm:ss\,"/>
    <numFmt numFmtId="178" formatCode="h:mm;;@"/>
    <numFmt numFmtId="179" formatCode="mm:ss;;@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Arial Cyr"/>
      <family val="0"/>
    </font>
    <font>
      <sz val="8"/>
      <color indexed="22"/>
      <name val="Arial Cyr"/>
      <family val="0"/>
    </font>
    <font>
      <sz val="12"/>
      <color indexed="22"/>
      <name val="Arial Cyr"/>
      <family val="0"/>
    </font>
    <font>
      <b/>
      <sz val="12"/>
      <color indexed="22"/>
      <name val="Arial Cyr"/>
      <family val="0"/>
    </font>
    <font>
      <b/>
      <sz val="12"/>
      <color indexed="12"/>
      <name val="Arial Cyr"/>
      <family val="0"/>
    </font>
    <font>
      <i/>
      <sz val="8"/>
      <color indexed="23"/>
      <name val="Arial Cyr"/>
      <family val="0"/>
    </font>
    <font>
      <sz val="8"/>
      <color indexed="23"/>
      <name val="Arial Cyr"/>
      <family val="0"/>
    </font>
    <font>
      <b/>
      <sz val="8"/>
      <color indexed="23"/>
      <name val="Arial Cyr"/>
      <family val="0"/>
    </font>
    <font>
      <b/>
      <sz val="8"/>
      <color indexed="22"/>
      <name val="Arial Cyr"/>
      <family val="0"/>
    </font>
    <font>
      <sz val="14"/>
      <name val="Microsoft Sans Serif"/>
      <family val="2"/>
    </font>
    <font>
      <b/>
      <sz val="12"/>
      <color indexed="8"/>
      <name val="Calibri"/>
      <family val="2"/>
    </font>
    <font>
      <b/>
      <sz val="10"/>
      <color indexed="2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2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9" fillId="0" borderId="10" xfId="53" applyBorder="1">
      <alignment/>
      <protection/>
    </xf>
    <xf numFmtId="0" fontId="39" fillId="0" borderId="11" xfId="53" applyBorder="1">
      <alignment/>
      <protection/>
    </xf>
    <xf numFmtId="0" fontId="39" fillId="0" borderId="12" xfId="53" applyBorder="1">
      <alignment/>
      <protection/>
    </xf>
    <xf numFmtId="0" fontId="39" fillId="0" borderId="0" xfId="53">
      <alignment/>
      <protection/>
    </xf>
    <xf numFmtId="0" fontId="20" fillId="0" borderId="13" xfId="53" applyFont="1" applyBorder="1" applyAlignment="1">
      <alignment horizontal="center"/>
      <protection/>
    </xf>
    <xf numFmtId="0" fontId="20" fillId="0" borderId="14" xfId="53" applyFont="1" applyBorder="1" applyAlignment="1">
      <alignment horizontal="center"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9" fillId="0" borderId="18" xfId="53" applyFont="1" applyBorder="1" applyAlignment="1">
      <alignment horizontal="center" vertical="center" wrapText="1"/>
      <protection/>
    </xf>
    <xf numFmtId="0" fontId="30" fillId="0" borderId="22" xfId="53" applyFont="1" applyFill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9" fillId="0" borderId="22" xfId="53" applyFont="1" applyBorder="1" applyAlignment="1">
      <alignment horizontal="center" vertical="center" wrapText="1"/>
      <protection/>
    </xf>
    <xf numFmtId="0" fontId="31" fillId="0" borderId="23" xfId="53" applyFont="1" applyBorder="1" applyAlignment="1">
      <alignment horizontal="right" vertical="center"/>
      <protection/>
    </xf>
    <xf numFmtId="0" fontId="39" fillId="0" borderId="0" xfId="53" applyBorder="1">
      <alignment/>
      <protection/>
    </xf>
    <xf numFmtId="0" fontId="32" fillId="0" borderId="24" xfId="53" applyFont="1" applyBorder="1" applyAlignment="1">
      <alignment horizontal="right" vertical="center"/>
      <protection/>
    </xf>
    <xf numFmtId="20" fontId="33" fillId="0" borderId="0" xfId="53" applyNumberFormat="1" applyFont="1" applyBorder="1" applyAlignment="1">
      <alignment horizontal="left" vertical="center"/>
      <protection/>
    </xf>
    <xf numFmtId="164" fontId="33" fillId="0" borderId="0" xfId="53" applyNumberFormat="1" applyFont="1" applyBorder="1" applyAlignment="1">
      <alignment horizontal="left" vertical="center"/>
      <protection/>
    </xf>
    <xf numFmtId="164" fontId="33" fillId="0" borderId="25" xfId="53" applyNumberFormat="1" applyFont="1" applyBorder="1" applyAlignment="1">
      <alignment horizontal="left" vertical="center"/>
      <protection/>
    </xf>
    <xf numFmtId="0" fontId="32" fillId="0" borderId="26" xfId="53" applyFont="1" applyBorder="1">
      <alignment/>
      <protection/>
    </xf>
    <xf numFmtId="21" fontId="32" fillId="0" borderId="0" xfId="53" applyNumberFormat="1" applyFont="1" applyBorder="1">
      <alignment/>
      <protection/>
    </xf>
    <xf numFmtId="21" fontId="32" fillId="0" borderId="27" xfId="53" applyNumberFormat="1" applyFont="1" applyBorder="1">
      <alignment/>
      <protection/>
    </xf>
    <xf numFmtId="21" fontId="32" fillId="0" borderId="28" xfId="53" applyNumberFormat="1" applyFont="1" applyBorder="1" applyAlignment="1">
      <alignment horizontal="right" vertical="center"/>
      <protection/>
    </xf>
    <xf numFmtId="21" fontId="32" fillId="0" borderId="29" xfId="53" applyNumberFormat="1" applyFont="1" applyBorder="1" applyAlignment="1">
      <alignment horizontal="right" vertical="center"/>
      <protection/>
    </xf>
    <xf numFmtId="21" fontId="32" fillId="0" borderId="0" xfId="53" applyNumberFormat="1" applyFont="1" applyBorder="1" applyAlignment="1">
      <alignment horizontal="right" vertical="center"/>
      <protection/>
    </xf>
    <xf numFmtId="21" fontId="32" fillId="0" borderId="30" xfId="53" applyNumberFormat="1" applyFont="1" applyBorder="1">
      <alignment/>
      <protection/>
    </xf>
    <xf numFmtId="21" fontId="32" fillId="0" borderId="31" xfId="53" applyNumberFormat="1" applyFont="1" applyBorder="1">
      <alignment/>
      <protection/>
    </xf>
    <xf numFmtId="0" fontId="32" fillId="0" borderId="25" xfId="53" applyFont="1" applyBorder="1" applyAlignment="1">
      <alignment horizontal="right" vertical="center"/>
      <protection/>
    </xf>
    <xf numFmtId="0" fontId="39" fillId="0" borderId="32" xfId="53" applyBorder="1">
      <alignment/>
      <protection/>
    </xf>
    <xf numFmtId="0" fontId="32" fillId="0" borderId="32" xfId="53" applyFont="1" applyBorder="1">
      <alignment/>
      <protection/>
    </xf>
    <xf numFmtId="46" fontId="33" fillId="0" borderId="33" xfId="53" applyNumberFormat="1" applyFont="1" applyBorder="1" applyAlignment="1">
      <alignment horizontal="left" vertical="center"/>
      <protection/>
    </xf>
    <xf numFmtId="0" fontId="32" fillId="0" borderId="24" xfId="53" applyFont="1" applyBorder="1">
      <alignment/>
      <protection/>
    </xf>
    <xf numFmtId="46" fontId="34" fillId="0" borderId="34" xfId="53" applyNumberFormat="1" applyFont="1" applyBorder="1" applyAlignment="1">
      <alignment horizontal="left" vertical="center"/>
      <protection/>
    </xf>
    <xf numFmtId="46" fontId="33" fillId="0" borderId="0" xfId="53" applyNumberFormat="1" applyFont="1" applyBorder="1" applyAlignment="1">
      <alignment horizontal="center" vertical="center"/>
      <protection/>
    </xf>
    <xf numFmtId="0" fontId="32" fillId="0" borderId="0" xfId="53" applyFont="1" applyBorder="1">
      <alignment/>
      <protection/>
    </xf>
    <xf numFmtId="46" fontId="32" fillId="0" borderId="32" xfId="53" applyNumberFormat="1" applyFont="1" applyBorder="1" applyAlignment="1">
      <alignment horizontal="left" vertical="center"/>
      <protection/>
    </xf>
    <xf numFmtId="0" fontId="23" fillId="0" borderId="25" xfId="53" applyFont="1" applyBorder="1">
      <alignment/>
      <protection/>
    </xf>
    <xf numFmtId="0" fontId="23" fillId="0" borderId="27" xfId="53" applyFont="1" applyBorder="1">
      <alignment/>
      <protection/>
    </xf>
    <xf numFmtId="46" fontId="34" fillId="0" borderId="35" xfId="53" applyNumberFormat="1" applyFont="1" applyBorder="1" applyAlignment="1">
      <alignment horizontal="left" vertical="center"/>
      <protection/>
    </xf>
    <xf numFmtId="46" fontId="33" fillId="0" borderId="13" xfId="53" applyNumberFormat="1" applyFont="1" applyBorder="1" applyAlignment="1">
      <alignment horizontal="center" vertical="center"/>
      <protection/>
    </xf>
    <xf numFmtId="22" fontId="23" fillId="0" borderId="13" xfId="53" applyNumberFormat="1" applyFont="1" applyBorder="1">
      <alignment/>
      <protection/>
    </xf>
    <xf numFmtId="0" fontId="39" fillId="0" borderId="27" xfId="53" applyBorder="1">
      <alignment/>
      <protection/>
    </xf>
    <xf numFmtId="1" fontId="35" fillId="0" borderId="36" xfId="53" applyNumberFormat="1" applyFont="1" applyBorder="1" applyAlignment="1">
      <alignment horizontal="center" vertical="center"/>
      <protection/>
    </xf>
    <xf numFmtId="0" fontId="36" fillId="0" borderId="37" xfId="53" applyFont="1" applyBorder="1" applyAlignment="1">
      <alignment vertical="top" wrapText="1"/>
      <protection/>
    </xf>
    <xf numFmtId="0" fontId="19" fillId="0" borderId="37" xfId="53" applyFont="1" applyBorder="1" applyAlignment="1">
      <alignment vertical="top" wrapText="1"/>
      <protection/>
    </xf>
    <xf numFmtId="0" fontId="19" fillId="0" borderId="37" xfId="53" applyFont="1" applyBorder="1" applyAlignment="1">
      <alignment horizontal="center" vertical="top" wrapText="1"/>
      <protection/>
    </xf>
    <xf numFmtId="165" fontId="39" fillId="20" borderId="37" xfId="53" applyNumberFormat="1" applyFill="1" applyBorder="1" applyAlignment="1">
      <alignment horizontal="center" vertical="center"/>
      <protection/>
    </xf>
    <xf numFmtId="165" fontId="21" fillId="0" borderId="37" xfId="53" applyNumberFormat="1" applyFont="1" applyBorder="1" applyAlignment="1">
      <alignment horizontal="center" vertical="center"/>
      <protection/>
    </xf>
    <xf numFmtId="165" fontId="37" fillId="0" borderId="37" xfId="53" applyNumberFormat="1" applyFont="1" applyBorder="1" applyAlignment="1">
      <alignment horizontal="center" vertical="center"/>
      <protection/>
    </xf>
    <xf numFmtId="166" fontId="39" fillId="20" borderId="38" xfId="53" applyNumberFormat="1" applyFill="1" applyBorder="1" applyAlignment="1">
      <alignment horizontal="center" vertical="center"/>
      <protection/>
    </xf>
    <xf numFmtId="165" fontId="39" fillId="20" borderId="39" xfId="53" applyNumberFormat="1" applyFill="1" applyBorder="1" applyAlignment="1">
      <alignment horizontal="center" vertical="center"/>
      <protection/>
    </xf>
    <xf numFmtId="167" fontId="39" fillId="20" borderId="39" xfId="53" applyNumberFormat="1" applyFill="1" applyBorder="1" applyAlignment="1">
      <alignment horizontal="center" vertical="center"/>
      <protection/>
    </xf>
    <xf numFmtId="20" fontId="39" fillId="20" borderId="40" xfId="53" applyNumberFormat="1" applyFill="1" applyBorder="1" applyAlignment="1">
      <alignment horizontal="center" vertical="center"/>
      <protection/>
    </xf>
    <xf numFmtId="21" fontId="38" fillId="0" borderId="37" xfId="53" applyNumberFormat="1" applyFont="1" applyFill="1" applyBorder="1" applyAlignment="1">
      <alignment horizontal="center" vertical="center"/>
      <protection/>
    </xf>
    <xf numFmtId="166" fontId="21" fillId="0" borderId="41" xfId="53" applyNumberFormat="1" applyFont="1" applyBorder="1" applyAlignment="1">
      <alignment horizontal="center" vertical="center"/>
      <protection/>
    </xf>
    <xf numFmtId="165" fontId="39" fillId="20" borderId="42" xfId="53" applyNumberFormat="1" applyFill="1" applyBorder="1" applyAlignment="1">
      <alignment horizontal="center" vertical="center"/>
      <protection/>
    </xf>
    <xf numFmtId="165" fontId="21" fillId="0" borderId="43" xfId="53" applyNumberFormat="1" applyFont="1" applyBorder="1" applyAlignment="1">
      <alignment horizontal="center" vertical="center"/>
      <protection/>
    </xf>
    <xf numFmtId="165" fontId="37" fillId="0" borderId="43" xfId="53" applyNumberFormat="1" applyFont="1" applyBorder="1" applyAlignment="1">
      <alignment horizontal="center" vertical="center"/>
      <protection/>
    </xf>
    <xf numFmtId="166" fontId="39" fillId="20" borderId="44" xfId="53" applyNumberFormat="1" applyFill="1" applyBorder="1" applyAlignment="1">
      <alignment horizontal="center" vertical="center"/>
      <protection/>
    </xf>
    <xf numFmtId="165" fontId="39" fillId="20" borderId="40" xfId="53" applyNumberFormat="1" applyFill="1" applyBorder="1" applyAlignment="1">
      <alignment horizontal="center" vertical="center"/>
      <protection/>
    </xf>
    <xf numFmtId="166" fontId="39" fillId="20" borderId="41" xfId="53" applyNumberFormat="1" applyFill="1" applyBorder="1" applyAlignment="1">
      <alignment horizontal="center" vertical="center"/>
      <protection/>
    </xf>
    <xf numFmtId="21" fontId="39" fillId="20" borderId="37" xfId="53" applyNumberFormat="1" applyFont="1" applyFill="1" applyBorder="1" applyAlignment="1">
      <alignment horizontal="center" vertical="center"/>
      <protection/>
    </xf>
    <xf numFmtId="45" fontId="21" fillId="0" borderId="37" xfId="53" applyNumberFormat="1" applyFont="1" applyBorder="1" applyAlignment="1">
      <alignment horizontal="center" vertical="center"/>
      <protection/>
    </xf>
    <xf numFmtId="45" fontId="39" fillId="20" borderId="45" xfId="53" applyNumberFormat="1" applyFill="1" applyBorder="1" applyAlignment="1">
      <alignment horizontal="center" vertical="center"/>
      <protection/>
    </xf>
    <xf numFmtId="45" fontId="40" fillId="0" borderId="45" xfId="53" applyNumberFormat="1" applyFont="1" applyBorder="1" applyAlignment="1">
      <alignment horizontal="center" vertical="center"/>
      <protection/>
    </xf>
    <xf numFmtId="167" fontId="30" fillId="0" borderId="43" xfId="53" applyNumberFormat="1" applyFont="1" applyBorder="1" applyAlignment="1">
      <alignment horizontal="center" vertical="center"/>
      <protection/>
    </xf>
    <xf numFmtId="165" fontId="21" fillId="0" borderId="41" xfId="53" applyNumberFormat="1" applyFont="1" applyBorder="1" applyAlignment="1">
      <alignment horizontal="center" vertical="center"/>
      <protection/>
    </xf>
    <xf numFmtId="166" fontId="39" fillId="20" borderId="42" xfId="53" applyNumberFormat="1" applyFill="1" applyBorder="1" applyAlignment="1">
      <alignment horizontal="center" vertical="center"/>
      <protection/>
    </xf>
    <xf numFmtId="166" fontId="39" fillId="20" borderId="45" xfId="53" applyNumberFormat="1" applyFill="1" applyBorder="1" applyAlignment="1">
      <alignment horizontal="center" vertical="center"/>
      <protection/>
    </xf>
    <xf numFmtId="45" fontId="40" fillId="0" borderId="42" xfId="53" applyNumberFormat="1" applyFont="1" applyBorder="1" applyAlignment="1">
      <alignment horizontal="center" vertical="center"/>
      <protection/>
    </xf>
    <xf numFmtId="167" fontId="30" fillId="0" borderId="45" xfId="53" applyNumberFormat="1" applyFont="1" applyBorder="1" applyAlignment="1">
      <alignment horizontal="center" vertical="center"/>
      <protection/>
    </xf>
    <xf numFmtId="0" fontId="39" fillId="0" borderId="46" xfId="53" applyBorder="1" applyAlignment="1">
      <alignment horizontal="center" vertical="center"/>
      <protection/>
    </xf>
    <xf numFmtId="0" fontId="39" fillId="0" borderId="47" xfId="53" applyBorder="1" applyAlignment="1">
      <alignment horizontal="center" vertical="center"/>
      <protection/>
    </xf>
    <xf numFmtId="0" fontId="39" fillId="0" borderId="48" xfId="53" applyBorder="1" applyAlignment="1">
      <alignment horizontal="center" vertical="center"/>
      <protection/>
    </xf>
    <xf numFmtId="1" fontId="35" fillId="0" borderId="37" xfId="53" applyNumberFormat="1" applyFont="1" applyFill="1" applyBorder="1" applyAlignment="1">
      <alignment horizontal="center" vertical="center"/>
      <protection/>
    </xf>
    <xf numFmtId="47" fontId="39" fillId="0" borderId="42" xfId="53" applyNumberFormat="1" applyBorder="1">
      <alignment/>
      <protection/>
    </xf>
    <xf numFmtId="47" fontId="39" fillId="0" borderId="39" xfId="53" applyNumberFormat="1" applyBorder="1">
      <alignment/>
      <protection/>
    </xf>
    <xf numFmtId="0" fontId="39" fillId="0" borderId="38" xfId="53" applyBorder="1" applyAlignment="1">
      <alignment horizontal="center" vertical="center"/>
      <protection/>
    </xf>
    <xf numFmtId="1" fontId="35" fillId="0" borderId="37" xfId="53" applyNumberFormat="1" applyFont="1" applyBorder="1" applyAlignment="1">
      <alignment horizontal="center" vertical="center"/>
      <protection/>
    </xf>
    <xf numFmtId="0" fontId="19" fillId="0" borderId="37" xfId="53" applyFont="1" applyFill="1" applyBorder="1" applyAlignment="1">
      <alignment vertical="top" wrapText="1"/>
      <protection/>
    </xf>
    <xf numFmtId="166" fontId="21" fillId="0" borderId="37" xfId="53" applyNumberFormat="1" applyFont="1" applyBorder="1" applyAlignment="1">
      <alignment horizontal="center" vertical="center"/>
      <protection/>
    </xf>
    <xf numFmtId="45" fontId="39" fillId="20" borderId="37" xfId="53" applyNumberFormat="1" applyFill="1" applyBorder="1" applyAlignment="1">
      <alignment horizontal="center" vertical="center"/>
      <protection/>
    </xf>
    <xf numFmtId="165" fontId="21" fillId="0" borderId="40" xfId="53" applyNumberFormat="1" applyFont="1" applyBorder="1" applyAlignment="1">
      <alignment horizontal="center" vertical="center"/>
      <protection/>
    </xf>
    <xf numFmtId="166" fontId="39" fillId="20" borderId="22" xfId="53" applyNumberFormat="1" applyFill="1" applyBorder="1" applyAlignment="1">
      <alignment horizontal="center" vertical="center"/>
      <protection/>
    </xf>
    <xf numFmtId="1" fontId="35" fillId="0" borderId="47" xfId="53" applyNumberFormat="1" applyFont="1" applyBorder="1" applyAlignment="1">
      <alignment horizontal="center" vertical="center"/>
      <protection/>
    </xf>
    <xf numFmtId="0" fontId="19" fillId="0" borderId="37" xfId="53" applyFont="1" applyFill="1" applyBorder="1" applyAlignment="1">
      <alignment horizontal="center" vertical="top" wrapText="1"/>
      <protection/>
    </xf>
    <xf numFmtId="1" fontId="35" fillId="24" borderId="15" xfId="53" applyNumberFormat="1" applyFont="1" applyFill="1" applyBorder="1" applyAlignment="1">
      <alignment horizontal="center" vertical="center"/>
      <protection/>
    </xf>
    <xf numFmtId="0" fontId="36" fillId="24" borderId="15" xfId="53" applyFont="1" applyFill="1" applyBorder="1" applyAlignment="1">
      <alignment vertical="top" wrapText="1"/>
      <protection/>
    </xf>
    <xf numFmtId="0" fontId="19" fillId="24" borderId="15" xfId="53" applyFont="1" applyFill="1" applyBorder="1" applyAlignment="1">
      <alignment vertical="top" wrapText="1"/>
      <protection/>
    </xf>
    <xf numFmtId="0" fontId="19" fillId="24" borderId="15" xfId="53" applyFont="1" applyFill="1" applyBorder="1" applyAlignment="1">
      <alignment horizontal="center" vertical="top" wrapText="1"/>
      <protection/>
    </xf>
    <xf numFmtId="0" fontId="19" fillId="24" borderId="21" xfId="53" applyFont="1" applyFill="1" applyBorder="1" applyAlignment="1">
      <alignment horizontal="center" vertical="top" wrapText="1"/>
      <protection/>
    </xf>
    <xf numFmtId="165" fontId="39" fillId="24" borderId="15" xfId="53" applyNumberFormat="1" applyFill="1" applyBorder="1" applyAlignment="1">
      <alignment horizontal="center" vertical="center"/>
      <protection/>
    </xf>
    <xf numFmtId="165" fontId="39" fillId="24" borderId="17" xfId="53" applyNumberFormat="1" applyFill="1" applyBorder="1" applyAlignment="1">
      <alignment horizontal="center" vertical="center"/>
      <protection/>
    </xf>
    <xf numFmtId="165" fontId="21" fillId="24" borderId="15" xfId="53" applyNumberFormat="1" applyFont="1" applyFill="1" applyBorder="1" applyAlignment="1">
      <alignment horizontal="center" vertical="center"/>
      <protection/>
    </xf>
    <xf numFmtId="165" fontId="37" fillId="24" borderId="15" xfId="53" applyNumberFormat="1" applyFont="1" applyFill="1" applyBorder="1" applyAlignment="1">
      <alignment horizontal="center" vertical="center"/>
      <protection/>
    </xf>
    <xf numFmtId="166" fontId="39" fillId="24" borderId="16" xfId="53" applyNumberFormat="1" applyFill="1" applyBorder="1" applyAlignment="1">
      <alignment horizontal="center" vertical="center"/>
      <protection/>
    </xf>
    <xf numFmtId="165" fontId="39" fillId="24" borderId="14" xfId="53" applyNumberFormat="1" applyFill="1" applyBorder="1" applyAlignment="1">
      <alignment horizontal="center" vertical="center"/>
      <protection/>
    </xf>
    <xf numFmtId="167" fontId="39" fillId="24" borderId="14" xfId="53" applyNumberFormat="1" applyFill="1" applyBorder="1" applyAlignment="1">
      <alignment horizontal="center" vertical="center"/>
      <protection/>
    </xf>
    <xf numFmtId="20" fontId="39" fillId="24" borderId="17" xfId="53" applyNumberFormat="1" applyFill="1" applyBorder="1" applyAlignment="1">
      <alignment horizontal="center" vertical="center"/>
      <protection/>
    </xf>
    <xf numFmtId="21" fontId="38" fillId="24" borderId="37" xfId="53" applyNumberFormat="1" applyFont="1" applyFill="1" applyBorder="1" applyAlignment="1">
      <alignment horizontal="center" vertical="center"/>
      <protection/>
    </xf>
    <xf numFmtId="21" fontId="38" fillId="24" borderId="41" xfId="53" applyNumberFormat="1" applyFont="1" applyFill="1" applyBorder="1" applyAlignment="1">
      <alignment horizontal="center" vertical="center"/>
      <protection/>
    </xf>
    <xf numFmtId="165" fontId="39" fillId="24" borderId="18" xfId="53" applyNumberFormat="1" applyFill="1" applyBorder="1" applyAlignment="1">
      <alignment horizontal="center" vertical="center"/>
      <protection/>
    </xf>
    <xf numFmtId="165" fontId="21" fillId="24" borderId="43" xfId="53" applyNumberFormat="1" applyFont="1" applyFill="1" applyBorder="1" applyAlignment="1">
      <alignment horizontal="center" vertical="center"/>
      <protection/>
    </xf>
    <xf numFmtId="165" fontId="37" fillId="24" borderId="43" xfId="53" applyNumberFormat="1" applyFont="1" applyFill="1" applyBorder="1" applyAlignment="1">
      <alignment horizontal="center" vertical="center"/>
      <protection/>
    </xf>
    <xf numFmtId="166" fontId="39" fillId="24" borderId="20" xfId="53" applyNumberFormat="1" applyFill="1" applyBorder="1" applyAlignment="1">
      <alignment horizontal="center" vertical="center"/>
      <protection/>
    </xf>
    <xf numFmtId="165" fontId="21" fillId="24" borderId="37" xfId="53" applyNumberFormat="1" applyFont="1" applyFill="1" applyBorder="1" applyAlignment="1">
      <alignment horizontal="center" vertical="center"/>
      <protection/>
    </xf>
    <xf numFmtId="165" fontId="37" fillId="24" borderId="37" xfId="53" applyNumberFormat="1" applyFont="1" applyFill="1" applyBorder="1" applyAlignment="1">
      <alignment horizontal="center" vertical="center"/>
      <protection/>
    </xf>
    <xf numFmtId="166" fontId="39" fillId="24" borderId="21" xfId="53" applyNumberFormat="1" applyFill="1" applyBorder="1" applyAlignment="1">
      <alignment horizontal="center" vertical="center"/>
      <protection/>
    </xf>
    <xf numFmtId="21" fontId="39" fillId="24" borderId="15" xfId="53" applyNumberFormat="1" applyFont="1" applyFill="1" applyBorder="1" applyAlignment="1">
      <alignment horizontal="center" vertical="center"/>
      <protection/>
    </xf>
    <xf numFmtId="21" fontId="38" fillId="24" borderId="15" xfId="53" applyNumberFormat="1" applyFont="1" applyFill="1" applyBorder="1" applyAlignment="1">
      <alignment horizontal="center" vertical="center"/>
      <protection/>
    </xf>
    <xf numFmtId="45" fontId="21" fillId="24" borderId="15" xfId="53" applyNumberFormat="1" applyFont="1" applyFill="1" applyBorder="1" applyAlignment="1">
      <alignment horizontal="center" vertical="center"/>
      <protection/>
    </xf>
    <xf numFmtId="21" fontId="39" fillId="24" borderId="45" xfId="53" applyNumberFormat="1" applyFont="1" applyFill="1" applyBorder="1" applyAlignment="1">
      <alignment horizontal="center" vertical="center"/>
      <protection/>
    </xf>
    <xf numFmtId="20" fontId="39" fillId="24" borderId="37" xfId="53" applyNumberFormat="1" applyFill="1" applyBorder="1" applyAlignment="1">
      <alignment horizontal="center" vertical="center"/>
      <protection/>
    </xf>
    <xf numFmtId="45" fontId="40" fillId="24" borderId="22" xfId="53" applyNumberFormat="1" applyFont="1" applyFill="1" applyBorder="1" applyAlignment="1">
      <alignment horizontal="center" vertical="center"/>
      <protection/>
    </xf>
    <xf numFmtId="167" fontId="30" fillId="24" borderId="19" xfId="53" applyNumberFormat="1" applyFont="1" applyFill="1" applyBorder="1" applyAlignment="1">
      <alignment horizontal="center" vertical="center"/>
      <protection/>
    </xf>
    <xf numFmtId="165" fontId="21" fillId="24" borderId="21" xfId="53" applyNumberFormat="1" applyFont="1" applyFill="1" applyBorder="1" applyAlignment="1">
      <alignment horizontal="center" vertical="center"/>
      <protection/>
    </xf>
    <xf numFmtId="166" fontId="39" fillId="24" borderId="18" xfId="53" applyNumberFormat="1" applyFill="1" applyBorder="1" applyAlignment="1">
      <alignment horizontal="center" vertical="center"/>
      <protection/>
    </xf>
    <xf numFmtId="166" fontId="39" fillId="24" borderId="22" xfId="53" applyNumberFormat="1" applyFill="1" applyBorder="1" applyAlignment="1">
      <alignment horizontal="center" vertical="center"/>
      <protection/>
    </xf>
    <xf numFmtId="45" fontId="40" fillId="24" borderId="18" xfId="53" applyNumberFormat="1" applyFont="1" applyFill="1" applyBorder="1" applyAlignment="1">
      <alignment horizontal="center" vertical="center"/>
      <protection/>
    </xf>
    <xf numFmtId="167" fontId="30" fillId="24" borderId="22" xfId="53" applyNumberFormat="1" applyFont="1" applyFill="1" applyBorder="1" applyAlignment="1">
      <alignment horizontal="center" vertical="center"/>
      <protection/>
    </xf>
    <xf numFmtId="0" fontId="39" fillId="0" borderId="49" xfId="53" applyBorder="1">
      <alignment/>
      <protection/>
    </xf>
    <xf numFmtId="0" fontId="32" fillId="0" borderId="28" xfId="53" applyFont="1" applyBorder="1" applyAlignment="1">
      <alignment/>
      <protection/>
    </xf>
    <xf numFmtId="0" fontId="32" fillId="0" borderId="32" xfId="53" applyFont="1" applyBorder="1" applyAlignment="1">
      <alignment/>
      <protection/>
    </xf>
    <xf numFmtId="0" fontId="20" fillId="0" borderId="50" xfId="53" applyFont="1" applyBorder="1" applyAlignment="1">
      <alignment horizontal="center"/>
      <protection/>
    </xf>
    <xf numFmtId="0" fontId="22" fillId="0" borderId="51" xfId="53" applyFont="1" applyBorder="1" applyAlignment="1">
      <alignment horizontal="center"/>
      <protection/>
    </xf>
    <xf numFmtId="0" fontId="39" fillId="0" borderId="51" xfId="53" applyBorder="1" applyAlignment="1">
      <alignment horizontal="center"/>
      <protection/>
    </xf>
    <xf numFmtId="0" fontId="39" fillId="0" borderId="52" xfId="53" applyBorder="1" applyAlignment="1">
      <alignment horizontal="center"/>
      <protection/>
    </xf>
    <xf numFmtId="0" fontId="22" fillId="0" borderId="52" xfId="53" applyFont="1" applyBorder="1" applyAlignment="1">
      <alignment horizontal="center"/>
      <protection/>
    </xf>
    <xf numFmtId="0" fontId="20" fillId="0" borderId="29" xfId="53" applyFont="1" applyBorder="1" applyAlignment="1">
      <alignment horizontal="center"/>
      <protection/>
    </xf>
    <xf numFmtId="0" fontId="39" fillId="0" borderId="29" xfId="53" applyBorder="1" applyAlignment="1">
      <alignment horizontal="center"/>
      <protection/>
    </xf>
    <xf numFmtId="0" fontId="20" fillId="0" borderId="53" xfId="53" applyFont="1" applyBorder="1" applyAlignment="1">
      <alignment horizontal="center" vertical="center"/>
      <protection/>
    </xf>
    <xf numFmtId="0" fontId="20" fillId="0" borderId="54" xfId="53" applyFont="1" applyBorder="1" applyAlignment="1">
      <alignment horizontal="center" vertical="center"/>
      <protection/>
    </xf>
    <xf numFmtId="0" fontId="39" fillId="0" borderId="55" xfId="53" applyBorder="1">
      <alignment/>
      <protection/>
    </xf>
    <xf numFmtId="0" fontId="20" fillId="0" borderId="56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39" fillId="0" borderId="57" xfId="53" applyBorder="1">
      <alignment/>
      <protection/>
    </xf>
    <xf numFmtId="0" fontId="20" fillId="0" borderId="34" xfId="53" applyFont="1" applyBorder="1" applyAlignment="1">
      <alignment horizontal="center" vertical="center"/>
      <protection/>
    </xf>
    <xf numFmtId="0" fontId="20" fillId="0" borderId="25" xfId="53" applyFont="1" applyBorder="1" applyAlignment="1">
      <alignment horizontal="center" vertical="center"/>
      <protection/>
    </xf>
    <xf numFmtId="0" fontId="39" fillId="0" borderId="58" xfId="53" applyBorder="1">
      <alignment/>
      <protection/>
    </xf>
    <xf numFmtId="0" fontId="20" fillId="0" borderId="59" xfId="53" applyFont="1" applyBorder="1" applyAlignment="1">
      <alignment horizontal="center" vertical="center"/>
      <protection/>
    </xf>
    <xf numFmtId="0" fontId="20" fillId="0" borderId="60" xfId="53" applyFont="1" applyBorder="1" applyAlignment="1">
      <alignment horizontal="center" vertical="center"/>
      <protection/>
    </xf>
    <xf numFmtId="0" fontId="39" fillId="0" borderId="61" xfId="53" applyBorder="1">
      <alignment/>
      <protection/>
    </xf>
    <xf numFmtId="0" fontId="20" fillId="0" borderId="59" xfId="53" applyFont="1" applyBorder="1" applyAlignment="1">
      <alignment horizontal="center" vertical="center" wrapText="1"/>
      <protection/>
    </xf>
    <xf numFmtId="0" fontId="20" fillId="0" borderId="60" xfId="53" applyFont="1" applyBorder="1" applyAlignment="1">
      <alignment horizontal="center" vertical="center" wrapText="1"/>
      <protection/>
    </xf>
    <xf numFmtId="0" fontId="20" fillId="0" borderId="62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39" fillId="0" borderId="36" xfId="53" applyBorder="1" applyAlignment="1">
      <alignment horizontal="center"/>
      <protection/>
    </xf>
    <xf numFmtId="0" fontId="22" fillId="0" borderId="29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39" fillId="0" borderId="11" xfId="53" applyBorder="1" applyAlignment="1">
      <alignment/>
      <protection/>
    </xf>
    <xf numFmtId="0" fontId="39" fillId="0" borderId="12" xfId="53" applyBorder="1" applyAlignment="1">
      <alignment/>
      <protection/>
    </xf>
    <xf numFmtId="0" fontId="20" fillId="0" borderId="36" xfId="53" applyFont="1" applyBorder="1" applyAlignment="1">
      <alignment horizontal="center"/>
      <protection/>
    </xf>
    <xf numFmtId="0" fontId="39" fillId="0" borderId="63" xfId="53" applyBorder="1" applyAlignment="1">
      <alignment horizontal="center"/>
      <protection/>
    </xf>
    <xf numFmtId="0" fontId="20" fillId="0" borderId="51" xfId="53" applyFont="1" applyBorder="1" applyAlignment="1">
      <alignment horizontal="center"/>
      <protection/>
    </xf>
    <xf numFmtId="0" fontId="21" fillId="0" borderId="64" xfId="53" applyFont="1" applyBorder="1" applyAlignment="1">
      <alignment horizontal="center"/>
      <protection/>
    </xf>
    <xf numFmtId="0" fontId="39" fillId="0" borderId="64" xfId="53" applyBorder="1" applyAlignment="1">
      <alignment horizontal="center"/>
      <protection/>
    </xf>
    <xf numFmtId="0" fontId="39" fillId="0" borderId="65" xfId="53" applyBorder="1" applyAlignment="1">
      <alignment horizontal="center"/>
      <protection/>
    </xf>
    <xf numFmtId="0" fontId="24" fillId="0" borderId="50" xfId="53" applyFont="1" applyBorder="1" applyAlignment="1">
      <alignment horizontal="center"/>
      <protection/>
    </xf>
    <xf numFmtId="0" fontId="23" fillId="0" borderId="34" xfId="53" applyFont="1" applyBorder="1" applyAlignment="1">
      <alignment horizontal="center" vertical="center" wrapText="1"/>
      <protection/>
    </xf>
    <xf numFmtId="0" fontId="23" fillId="0" borderId="66" xfId="53" applyFont="1" applyBorder="1" applyAlignment="1">
      <alignment horizontal="center" vertical="center" wrapText="1"/>
      <protection/>
    </xf>
    <xf numFmtId="0" fontId="20" fillId="0" borderId="34" xfId="53" applyFont="1" applyFill="1" applyBorder="1" applyAlignment="1">
      <alignment horizontal="center" vertical="center" wrapText="1"/>
      <protection/>
    </xf>
    <xf numFmtId="0" fontId="39" fillId="0" borderId="66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ldtimer-rally-2011-resul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timer-rally-2011-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 лист"/>
      <sheetName val="Общие результаты"/>
      <sheetName val="1 секция"/>
      <sheetName val="2 секция"/>
      <sheetName val="Итог"/>
    </sheetNames>
    <sheetDataSet>
      <sheetData sheetId="0">
        <row r="10">
          <cell r="D10">
            <v>0.029166666666666664</v>
          </cell>
        </row>
        <row r="12">
          <cell r="D12">
            <v>0.02152777777777778</v>
          </cell>
        </row>
        <row r="13">
          <cell r="D13">
            <v>0.013888888888888888</v>
          </cell>
        </row>
        <row r="14">
          <cell r="D14">
            <v>0.003194444444444444</v>
          </cell>
        </row>
        <row r="15">
          <cell r="D15">
            <v>0.0026388888888888885</v>
          </cell>
        </row>
        <row r="16">
          <cell r="D16">
            <v>0.034722222222222224</v>
          </cell>
        </row>
        <row r="23">
          <cell r="D23">
            <v>0.05555555555555555</v>
          </cell>
        </row>
        <row r="32">
          <cell r="C32">
            <v>0.006944444444444444</v>
          </cell>
        </row>
        <row r="33">
          <cell r="C33">
            <v>3.472222222222222E-05</v>
          </cell>
        </row>
        <row r="34">
          <cell r="C34">
            <v>0.010405092592592593</v>
          </cell>
        </row>
        <row r="36">
          <cell r="C36">
            <v>0.006944444444444444</v>
          </cell>
        </row>
        <row r="37">
          <cell r="C37">
            <v>0.0175</v>
          </cell>
        </row>
        <row r="38">
          <cell r="C38">
            <v>0.0020833333333333333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BQ33"/>
  <sheetViews>
    <sheetView showZeros="0" tabSelected="1" workbookViewId="0" topLeftCell="A1">
      <pane xSplit="7" topLeftCell="BF1" activePane="topRight" state="frozen"/>
      <selection pane="topLeft" activeCell="A1" sqref="A1"/>
      <selection pane="topRight" activeCell="A1" sqref="A1:A3"/>
    </sheetView>
  </sheetViews>
  <sheetFormatPr defaultColWidth="9.140625" defaultRowHeight="15"/>
  <cols>
    <col min="1" max="1" width="7.421875" style="4" customWidth="1"/>
    <col min="2" max="2" width="26.421875" style="4" customWidth="1"/>
    <col min="3" max="3" width="27.8515625" style="4" customWidth="1"/>
    <col min="4" max="4" width="10.57421875" style="4" hidden="1" customWidth="1"/>
    <col min="5" max="5" width="27.28125" style="4" customWidth="1"/>
    <col min="6" max="6" width="14.421875" style="4" hidden="1" customWidth="1"/>
    <col min="7" max="7" width="6.57421875" style="132" customWidth="1"/>
    <col min="8" max="8" width="9.8515625" style="26" hidden="1" customWidth="1"/>
    <col min="9" max="9" width="10.421875" style="4" hidden="1" customWidth="1"/>
    <col min="10" max="10" width="9.7109375" style="4" customWidth="1"/>
    <col min="11" max="11" width="9.7109375" style="4" hidden="1" customWidth="1"/>
    <col min="12" max="12" width="10.8515625" style="4" hidden="1" customWidth="1"/>
    <col min="13" max="13" width="10.421875" style="4" hidden="1" customWidth="1"/>
    <col min="14" max="14" width="9.7109375" style="4" customWidth="1"/>
    <col min="15" max="15" width="9.7109375" style="4" hidden="1" customWidth="1"/>
    <col min="16" max="16" width="10.8515625" style="4" hidden="1" customWidth="1"/>
    <col min="17" max="17" width="11.140625" style="4" customWidth="1"/>
    <col min="18" max="18" width="10.8515625" style="4" customWidth="1"/>
    <col min="19" max="20" width="10.8515625" style="4" hidden="1" customWidth="1"/>
    <col min="21" max="21" width="10.8515625" style="4" customWidth="1"/>
    <col min="22" max="22" width="10.421875" style="4" hidden="1" customWidth="1"/>
    <col min="23" max="23" width="9.7109375" style="4" customWidth="1"/>
    <col min="24" max="24" width="9.7109375" style="4" hidden="1" customWidth="1"/>
    <col min="25" max="25" width="10.8515625" style="4" hidden="1" customWidth="1"/>
    <col min="26" max="26" width="10.421875" style="4" hidden="1" customWidth="1"/>
    <col min="27" max="27" width="9.7109375" style="4" customWidth="1"/>
    <col min="28" max="28" width="9.7109375" style="4" hidden="1" customWidth="1"/>
    <col min="29" max="29" width="10.8515625" style="4" hidden="1" customWidth="1"/>
    <col min="30" max="31" width="10.421875" style="4" hidden="1" customWidth="1"/>
    <col min="32" max="32" width="9.8515625" style="4" customWidth="1"/>
    <col min="33" max="33" width="9.8515625" style="4" hidden="1" customWidth="1"/>
    <col min="34" max="34" width="9.8515625" style="4" customWidth="1"/>
    <col min="35" max="37" width="10.421875" style="4" hidden="1" customWidth="1"/>
    <col min="38" max="38" width="10.421875" style="4" customWidth="1"/>
    <col min="39" max="39" width="9.7109375" style="4" hidden="1" customWidth="1"/>
    <col min="40" max="40" width="9.7109375" style="4" customWidth="1"/>
    <col min="41" max="41" width="9.7109375" style="4" hidden="1" customWidth="1"/>
    <col min="42" max="42" width="9.7109375" style="4" customWidth="1"/>
    <col min="43" max="43" width="10.421875" style="4" hidden="1" customWidth="1"/>
    <col min="44" max="44" width="9.7109375" style="4" customWidth="1"/>
    <col min="45" max="45" width="9.7109375" style="4" hidden="1" customWidth="1"/>
    <col min="46" max="46" width="9.7109375" style="4" customWidth="1"/>
    <col min="47" max="47" width="9.7109375" style="4" hidden="1" customWidth="1"/>
    <col min="48" max="48" width="12.7109375" style="4" bestFit="1" customWidth="1"/>
    <col min="49" max="50" width="10.140625" style="4" hidden="1" customWidth="1"/>
    <col min="51" max="51" width="9.7109375" style="4" customWidth="1"/>
    <col min="52" max="52" width="9.7109375" style="4" hidden="1" customWidth="1"/>
    <col min="53" max="53" width="11.00390625" style="4" hidden="1" customWidth="1"/>
    <col min="54" max="54" width="13.28125" style="4" customWidth="1"/>
    <col min="55" max="55" width="13.140625" style="4" hidden="1" customWidth="1"/>
    <col min="56" max="56" width="11.140625" style="4" customWidth="1"/>
    <col min="57" max="57" width="10.57421875" style="4" customWidth="1"/>
    <col min="58" max="58" width="9.57421875" style="4" customWidth="1"/>
    <col min="59" max="59" width="11.421875" style="4" hidden="1" customWidth="1"/>
    <col min="60" max="60" width="9.7109375" style="4" customWidth="1"/>
    <col min="61" max="61" width="9.7109375" style="4" hidden="1" customWidth="1"/>
    <col min="62" max="63" width="10.00390625" style="4" hidden="1" customWidth="1"/>
    <col min="64" max="65" width="14.00390625" style="4" bestFit="1" customWidth="1"/>
    <col min="66" max="66" width="10.140625" style="4" customWidth="1"/>
    <col min="67" max="67" width="10.421875" style="4" customWidth="1"/>
    <col min="68" max="68" width="9.140625" style="4" customWidth="1"/>
    <col min="69" max="69" width="7.421875" style="4" customWidth="1"/>
    <col min="70" max="16384" width="9.140625" style="4" customWidth="1"/>
  </cols>
  <sheetData>
    <row r="1" spans="1:69" ht="13.5" thickBot="1">
      <c r="A1" s="142" t="s">
        <v>91</v>
      </c>
      <c r="B1" s="151" t="s">
        <v>92</v>
      </c>
      <c r="C1" s="151" t="s">
        <v>93</v>
      </c>
      <c r="D1" s="154" t="s">
        <v>94</v>
      </c>
      <c r="E1" s="151" t="s">
        <v>95</v>
      </c>
      <c r="F1" s="145" t="s">
        <v>96</v>
      </c>
      <c r="G1" s="148" t="s">
        <v>97</v>
      </c>
      <c r="H1" s="160" t="s">
        <v>98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163"/>
      <c r="AW1" s="167" t="s">
        <v>99</v>
      </c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8"/>
      <c r="BL1" s="169"/>
      <c r="BM1" s="1"/>
      <c r="BN1" s="2"/>
      <c r="BO1" s="2"/>
      <c r="BP1" s="3"/>
      <c r="BQ1" s="142" t="s">
        <v>91</v>
      </c>
    </row>
    <row r="2" spans="1:69" ht="16.5" customHeight="1">
      <c r="A2" s="143"/>
      <c r="B2" s="152"/>
      <c r="C2" s="152"/>
      <c r="D2" s="155"/>
      <c r="E2" s="152"/>
      <c r="F2" s="146"/>
      <c r="G2" s="149"/>
      <c r="H2" s="156" t="s">
        <v>100</v>
      </c>
      <c r="I2" s="157"/>
      <c r="J2" s="158"/>
      <c r="K2" s="158"/>
      <c r="L2" s="158"/>
      <c r="M2" s="164" t="s">
        <v>101</v>
      </c>
      <c r="N2" s="157"/>
      <c r="O2" s="157"/>
      <c r="P2" s="165"/>
      <c r="Q2" s="135" t="s">
        <v>102</v>
      </c>
      <c r="R2" s="139"/>
      <c r="S2" s="135" t="s">
        <v>103</v>
      </c>
      <c r="T2" s="166"/>
      <c r="U2" s="138"/>
      <c r="V2" s="135" t="s">
        <v>104</v>
      </c>
      <c r="W2" s="136"/>
      <c r="X2" s="136"/>
      <c r="Y2" s="138"/>
      <c r="Z2" s="135" t="s">
        <v>105</v>
      </c>
      <c r="AA2" s="136"/>
      <c r="AB2" s="136"/>
      <c r="AC2" s="138"/>
      <c r="AD2" s="135" t="s">
        <v>166</v>
      </c>
      <c r="AE2" s="137"/>
      <c r="AF2" s="137"/>
      <c r="AG2" s="137"/>
      <c r="AH2" s="137"/>
      <c r="AI2" s="138"/>
      <c r="AJ2" s="140" t="s">
        <v>167</v>
      </c>
      <c r="AK2" s="141"/>
      <c r="AL2" s="141"/>
      <c r="AM2" s="141"/>
      <c r="AN2" s="141"/>
      <c r="AO2" s="141"/>
      <c r="AP2" s="5" t="s">
        <v>106</v>
      </c>
      <c r="AQ2" s="140" t="s">
        <v>107</v>
      </c>
      <c r="AR2" s="159"/>
      <c r="AS2" s="159"/>
      <c r="AT2" s="141"/>
      <c r="AU2" s="170" t="s">
        <v>108</v>
      </c>
      <c r="AV2" s="138"/>
      <c r="AW2" s="135" t="s">
        <v>109</v>
      </c>
      <c r="AX2" s="136"/>
      <c r="AY2" s="137"/>
      <c r="AZ2" s="137"/>
      <c r="BA2" s="138"/>
      <c r="BB2" s="135" t="s">
        <v>110</v>
      </c>
      <c r="BC2" s="139"/>
      <c r="BD2" s="5" t="s">
        <v>106</v>
      </c>
      <c r="BE2" s="135" t="s">
        <v>111</v>
      </c>
      <c r="BF2" s="139"/>
      <c r="BG2" s="166" t="s">
        <v>112</v>
      </c>
      <c r="BH2" s="136"/>
      <c r="BI2" s="136"/>
      <c r="BJ2" s="138"/>
      <c r="BK2" s="170" t="s">
        <v>108</v>
      </c>
      <c r="BL2" s="138"/>
      <c r="BM2" s="173" t="s">
        <v>113</v>
      </c>
      <c r="BN2" s="171" t="s">
        <v>114</v>
      </c>
      <c r="BO2" s="171" t="s">
        <v>115</v>
      </c>
      <c r="BP2" s="171" t="s">
        <v>116</v>
      </c>
      <c r="BQ2" s="143"/>
    </row>
    <row r="3" spans="1:69" ht="51.75" customHeight="1" thickBot="1">
      <c r="A3" s="144"/>
      <c r="B3" s="153"/>
      <c r="C3" s="153"/>
      <c r="D3" s="153"/>
      <c r="E3" s="153"/>
      <c r="F3" s="147"/>
      <c r="G3" s="150"/>
      <c r="H3" s="6" t="s">
        <v>117</v>
      </c>
      <c r="I3" s="7" t="s">
        <v>118</v>
      </c>
      <c r="J3" s="8" t="s">
        <v>119</v>
      </c>
      <c r="K3" s="9" t="s">
        <v>120</v>
      </c>
      <c r="L3" s="8" t="s">
        <v>121</v>
      </c>
      <c r="M3" s="7" t="s">
        <v>118</v>
      </c>
      <c r="N3" s="8" t="s">
        <v>122</v>
      </c>
      <c r="O3" s="9" t="s">
        <v>120</v>
      </c>
      <c r="P3" s="10" t="s">
        <v>121</v>
      </c>
      <c r="Q3" s="11" t="s">
        <v>123</v>
      </c>
      <c r="R3" s="10" t="s">
        <v>121</v>
      </c>
      <c r="S3" s="11" t="s">
        <v>118</v>
      </c>
      <c r="T3" s="12" t="s">
        <v>124</v>
      </c>
      <c r="U3" s="10" t="s">
        <v>125</v>
      </c>
      <c r="V3" s="13" t="s">
        <v>118</v>
      </c>
      <c r="W3" s="14" t="s">
        <v>122</v>
      </c>
      <c r="X3" s="15" t="s">
        <v>120</v>
      </c>
      <c r="Y3" s="16" t="s">
        <v>121</v>
      </c>
      <c r="Z3" s="11" t="s">
        <v>118</v>
      </c>
      <c r="AA3" s="17" t="s">
        <v>119</v>
      </c>
      <c r="AB3" s="18" t="s">
        <v>120</v>
      </c>
      <c r="AC3" s="10" t="s">
        <v>121</v>
      </c>
      <c r="AD3" s="11" t="s">
        <v>126</v>
      </c>
      <c r="AE3" s="12" t="s">
        <v>127</v>
      </c>
      <c r="AF3" s="12" t="s">
        <v>124</v>
      </c>
      <c r="AG3" s="17" t="s">
        <v>128</v>
      </c>
      <c r="AH3" s="17" t="s">
        <v>125</v>
      </c>
      <c r="AI3" s="10" t="s">
        <v>121</v>
      </c>
      <c r="AJ3" s="12" t="s">
        <v>126</v>
      </c>
      <c r="AK3" s="12" t="s">
        <v>127</v>
      </c>
      <c r="AL3" s="12" t="s">
        <v>124</v>
      </c>
      <c r="AM3" s="17" t="s">
        <v>128</v>
      </c>
      <c r="AN3" s="8" t="s">
        <v>125</v>
      </c>
      <c r="AO3" s="19" t="s">
        <v>121</v>
      </c>
      <c r="AP3" s="20" t="s">
        <v>121</v>
      </c>
      <c r="AQ3" s="12" t="s">
        <v>118</v>
      </c>
      <c r="AR3" s="17" t="s">
        <v>119</v>
      </c>
      <c r="AS3" s="18" t="s">
        <v>120</v>
      </c>
      <c r="AT3" s="17" t="s">
        <v>121</v>
      </c>
      <c r="AU3" s="21" t="s">
        <v>129</v>
      </c>
      <c r="AV3" s="22" t="s">
        <v>130</v>
      </c>
      <c r="AW3" s="6" t="s">
        <v>117</v>
      </c>
      <c r="AX3" s="12" t="s">
        <v>118</v>
      </c>
      <c r="AY3" s="17" t="s">
        <v>122</v>
      </c>
      <c r="AZ3" s="18" t="s">
        <v>120</v>
      </c>
      <c r="BA3" s="10" t="s">
        <v>121</v>
      </c>
      <c r="BB3" s="23" t="s">
        <v>131</v>
      </c>
      <c r="BC3" s="10" t="s">
        <v>132</v>
      </c>
      <c r="BD3" s="20" t="s">
        <v>121</v>
      </c>
      <c r="BE3" s="11" t="s">
        <v>123</v>
      </c>
      <c r="BF3" s="10" t="s">
        <v>121</v>
      </c>
      <c r="BG3" s="12" t="s">
        <v>118</v>
      </c>
      <c r="BH3" s="17" t="s">
        <v>121</v>
      </c>
      <c r="BI3" s="18" t="s">
        <v>120</v>
      </c>
      <c r="BJ3" s="19" t="s">
        <v>121</v>
      </c>
      <c r="BK3" s="24" t="s">
        <v>129</v>
      </c>
      <c r="BL3" s="22" t="s">
        <v>130</v>
      </c>
      <c r="BM3" s="174"/>
      <c r="BN3" s="172"/>
      <c r="BO3" s="172"/>
      <c r="BP3" s="172"/>
      <c r="BQ3" s="144"/>
    </row>
    <row r="4" spans="1:69" ht="10.5" customHeight="1" hidden="1" thickBot="1">
      <c r="A4" s="25"/>
      <c r="B4" s="26"/>
      <c r="C4" s="27"/>
      <c r="D4" s="28"/>
      <c r="E4" s="26"/>
      <c r="F4" s="27"/>
      <c r="G4" s="29"/>
      <c r="H4" s="30"/>
      <c r="I4" s="31"/>
      <c r="J4" s="32"/>
      <c r="K4" s="32"/>
      <c r="L4" s="33"/>
      <c r="M4" s="34" t="s">
        <v>133</v>
      </c>
      <c r="N4" s="35">
        <f>'[1]М лист'!$D$10</f>
        <v>0.029166666666666664</v>
      </c>
      <c r="O4" s="36"/>
      <c r="P4" s="37"/>
      <c r="Q4" s="133"/>
      <c r="R4" s="134"/>
      <c r="S4" s="35" t="s">
        <v>133</v>
      </c>
      <c r="T4" s="35">
        <f>'[1]М лист'!$C$37</f>
        <v>0.0175</v>
      </c>
      <c r="U4" s="26"/>
      <c r="V4" s="34" t="s">
        <v>133</v>
      </c>
      <c r="W4" s="35">
        <f>'[1]М лист'!$D$12</f>
        <v>0.02152777777777778</v>
      </c>
      <c r="X4" s="36"/>
      <c r="Y4" s="33"/>
      <c r="Z4" s="35" t="s">
        <v>133</v>
      </c>
      <c r="AA4" s="36">
        <f>'[1]М лист'!$D13</f>
        <v>0.013888888888888888</v>
      </c>
      <c r="AB4" s="36"/>
      <c r="AC4" s="38"/>
      <c r="AD4" s="39"/>
      <c r="AE4" s="35" t="s">
        <v>133</v>
      </c>
      <c r="AF4" s="35">
        <f>'[1]М лист'!$D$14</f>
        <v>0.003194444444444444</v>
      </c>
      <c r="AG4" s="26"/>
      <c r="AH4" s="26"/>
      <c r="AI4" s="40"/>
      <c r="AJ4" s="39"/>
      <c r="AK4" s="35" t="s">
        <v>133</v>
      </c>
      <c r="AL4" s="35">
        <f>'[1]М лист'!$D15</f>
        <v>0.0026388888888888885</v>
      </c>
      <c r="AM4" s="26"/>
      <c r="AN4" s="26"/>
      <c r="AO4" s="41"/>
      <c r="AP4" s="42"/>
      <c r="AQ4" s="35" t="s">
        <v>133</v>
      </c>
      <c r="AR4" s="36">
        <f>'[1]М лист'!$D$16</f>
        <v>0.034722222222222224</v>
      </c>
      <c r="AS4" s="36"/>
      <c r="AT4" s="43"/>
      <c r="AU4" s="44">
        <f>'[1]М лист'!C34</f>
        <v>0.010405092592592593</v>
      </c>
      <c r="AV4" s="45"/>
      <c r="AW4" s="30"/>
      <c r="AX4" s="31"/>
      <c r="AY4" s="46"/>
      <c r="AZ4" s="36"/>
      <c r="BA4" s="47"/>
      <c r="BB4" s="48"/>
      <c r="BC4" s="49"/>
      <c r="BD4" s="42"/>
      <c r="BE4" s="133"/>
      <c r="BF4" s="134"/>
      <c r="BG4" s="35" t="s">
        <v>133</v>
      </c>
      <c r="BH4" s="35">
        <f>'[1]М лист'!$D$23</f>
        <v>0.05555555555555555</v>
      </c>
      <c r="BI4" s="36"/>
      <c r="BJ4" s="35"/>
      <c r="BK4" s="50"/>
      <c r="BL4" s="51"/>
      <c r="BM4" s="52"/>
      <c r="BP4" s="53"/>
      <c r="BQ4" s="25"/>
    </row>
    <row r="5" spans="1:69" ht="17.25" customHeight="1">
      <c r="A5" s="54">
        <v>1</v>
      </c>
      <c r="B5" s="55" t="s">
        <v>0</v>
      </c>
      <c r="C5" s="56" t="s">
        <v>1</v>
      </c>
      <c r="D5" s="56" t="s">
        <v>2</v>
      </c>
      <c r="E5" s="56" t="s">
        <v>3</v>
      </c>
      <c r="F5" s="57">
        <v>6600</v>
      </c>
      <c r="G5" s="57">
        <v>1966</v>
      </c>
      <c r="H5" s="58" t="s">
        <v>134</v>
      </c>
      <c r="I5" s="58" t="s">
        <v>134</v>
      </c>
      <c r="J5" s="59">
        <f>IF(I5="","",IF(I5=0,'[1]М лист'!$C$32,ABS(I5-H5)))</f>
        <v>0</v>
      </c>
      <c r="K5" s="60">
        <f aca="true" t="shared" si="0" ref="K5:K33">IF(I5="","",IF((I5-H5)&gt;0,ABS(I5-H5),0))</f>
        <v>0</v>
      </c>
      <c r="L5" s="61"/>
      <c r="M5" s="62">
        <v>0.5298611111111111</v>
      </c>
      <c r="N5" s="59">
        <f>IF(M5="","",IF(M5=0,'[1]М лист'!$C$32,IF(I5=0,0,ABS(M5-I5-'[1]М лист'!$D$10))))</f>
        <v>1.0408340855860843E-17</v>
      </c>
      <c r="O5" s="60">
        <f>IF(M5="","",IF((M5-I5-'[1]М лист'!$D$10)&gt;0,ABS(M5-I5-'[1]М лист'!$D$10),0))</f>
        <v>1.0408340855860843E-17</v>
      </c>
      <c r="P5" s="61"/>
      <c r="Q5" s="63">
        <v>0.0003344907407407407</v>
      </c>
      <c r="R5" s="61"/>
      <c r="S5" s="64">
        <v>0.5465277777777778</v>
      </c>
      <c r="T5" s="65">
        <f>IF(S5="",0,IF(S5=0,'[1]М лист'!$C$32,IF(M5=0,0,S5-M5)))</f>
        <v>0.01666666666666672</v>
      </c>
      <c r="U5" s="66">
        <f>IF(S5="",0,IF(S5=0,'[1]М лист'!$C$32,IF(T5="",0,IF(T5&lt;('[1]М лист'!$C$37-'[1]М лист'!$C$38),'[1]М лист'!$C$37-'[1]М лист'!$C$38-T5,0))))</f>
        <v>0</v>
      </c>
      <c r="V5" s="67">
        <v>0.5513888888888888</v>
      </c>
      <c r="W5" s="68">
        <f>IF(V5="",0,IF(V5="",0,IF(V5=0,'[1]М лист'!$C$32,IF(M5=0,0,ABS(V5-M5-'[1]М лист'!$D$12)))))</f>
        <v>7.979727989493313E-17</v>
      </c>
      <c r="X5" s="69">
        <f>IF(V5="",0,IF(M5=0,0,IF((V5-M5-'[1]М лист'!$D$12)&gt;0,ABS(V5-M5-'[1]М лист'!$D$12),0)))</f>
        <v>0</v>
      </c>
      <c r="Y5" s="70"/>
      <c r="Z5" s="71">
        <v>0.5652777777777778</v>
      </c>
      <c r="AA5" s="59">
        <f>IF(Z5="",0,IF(Z5="",0,IF(Z5=0,'[1]М лист'!$C$32,IF(V5=0,0,ABS(Z5-V5-'[1]М лист'!$D$13)))))</f>
        <v>6.245004513516506E-17</v>
      </c>
      <c r="AB5" s="60">
        <f>IF(Z5="",0,IF(V5=0,0,IF((Z5-V5-'[1]М лист'!$D$13)&gt;0,ABS(Z5-V5-'[1]М лист'!$D$13),0)))</f>
        <v>6.245004513516506E-17</v>
      </c>
      <c r="AC5" s="72"/>
      <c r="AD5" s="62">
        <v>0.5673611111111111</v>
      </c>
      <c r="AE5" s="73">
        <v>0.5706018518518519</v>
      </c>
      <c r="AF5" s="65">
        <f aca="true" t="shared" si="1" ref="AF5:AF32">IF(AD5="","",IF(AE5="","",IF(AD5="",0,IF(AE5="",0,AE5-AD5))))</f>
        <v>0.0032407407407407662</v>
      </c>
      <c r="AG5" s="74">
        <f>IF(AF5="",0,IF(('[1]М лист'!$D$14-'[1]М лист'!$C$33-AF5)&gt;'[1]М лист'!C$36,'[1]М лист'!$C$36,IF(AF5&gt;('[1]М лист'!D$14+'[1]М лист'!$C$33),AF5-'[1]М лист'!D$14-'[1]М лист'!$C$33,IF(AF5&lt;('[1]М лист'!$D$14-'[1]М лист'!$C$33),'[1]М лист'!$D$14-'[1]М лист'!$C$33-AF5,0))))</f>
        <v>1.1574074074099815E-05</v>
      </c>
      <c r="AH5" s="74">
        <f>IF(AE5="",0,IF(AG5&gt;'[1]М лист'!$C$36,'[1]М лист'!$C$36,AG5))</f>
        <v>1.1574074074099815E-05</v>
      </c>
      <c r="AI5" s="61"/>
      <c r="AJ5" s="62">
        <v>0.5736111111111112</v>
      </c>
      <c r="AK5" s="73">
        <v>0.5762731481481481</v>
      </c>
      <c r="AL5" s="65">
        <f aca="true" t="shared" si="2" ref="AL5:AL32">IF(AJ5="","",IF(AK5="","",IF(AJ5="",0,IF(AK5="",0,AK5-AJ5))))</f>
        <v>0.002662037037036935</v>
      </c>
      <c r="AM5" s="74">
        <f>IF(AL5="",0,IF(AL5&gt;('[1]М лист'!$D$15+'[1]М лист'!$C$33),AL5-'[1]М лист'!$D$15-'[1]М лист'!$C$33,IF(AL5&lt;('[1]М лист'!$D$15-'[1]М лист'!$C$33),'[1]М лист'!$D$15-'[1]М лист'!$C$33-AL5,0)))</f>
        <v>0</v>
      </c>
      <c r="AN5" s="74">
        <f>IF(AK5="","",IF(AM5&gt;'[1]М лист'!$C$36,'[1]М лист'!$C$36,AM5))</f>
        <v>0</v>
      </c>
      <c r="AO5" s="61"/>
      <c r="AP5" s="75"/>
      <c r="AQ5" s="64">
        <v>0.6013888888888889</v>
      </c>
      <c r="AR5" s="59">
        <f>IF(AQ5="",0,IF(AQ5="",0,IF(AQ5=0,'[1]М лист'!$C$32,IF(AD5=0,0,IF((AQ5-AD5-'[1]М лист'!$D$16)&gt;0,AQ5-AD5-'[1]М лист'!$D$16,0)))))</f>
        <v>0</v>
      </c>
      <c r="AS5" s="60">
        <f>IF(AQ5="",0,IF(AD5=0,0,IF((AQ5-AD5-'[1]М лист'!$D$16)&gt;0,ABS(AQ5-AD5-'[1]М лист'!$D$16),0)))</f>
        <v>0</v>
      </c>
      <c r="AT5" s="72"/>
      <c r="AU5" s="76">
        <f aca="true" t="shared" si="3" ref="AU5:AU32">K5+O5+X5+AB5+AS5</f>
        <v>7.28583859910259E-17</v>
      </c>
      <c r="AV5" s="77">
        <f aca="true" t="shared" si="4" ref="AV5:AV15">J5+L5+N5+P5+Q5+R5+U5+W5+Y5+AA5+AC5+AH5+AI5+AN5+AO5+AP5+AR5+AT5</f>
        <v>0.0003460648148149932</v>
      </c>
      <c r="AW5" s="62">
        <v>0.6673611111111111</v>
      </c>
      <c r="AX5" s="58">
        <v>0.6673611111111111</v>
      </c>
      <c r="AY5" s="78">
        <f>IF(AX5="","",IF(AX5="",0,IF(AX5=0,'[1]М лист'!$C$32,ABS(AX5-AW5))))</f>
        <v>0</v>
      </c>
      <c r="AZ5" s="60">
        <f aca="true" t="shared" si="5" ref="AZ5:AZ33">IF(AX5="","",IF((AX5-AW5)&gt;0,ABS(AX5-AW5),0))</f>
        <v>0</v>
      </c>
      <c r="BA5" s="61"/>
      <c r="BB5" s="79">
        <v>0.0005208333333333333</v>
      </c>
      <c r="BC5" s="61"/>
      <c r="BD5" s="80"/>
      <c r="BE5" s="63">
        <v>0.00037037037037037035</v>
      </c>
      <c r="BF5" s="61"/>
      <c r="BG5" s="71">
        <v>0.7229166666666668</v>
      </c>
      <c r="BH5" s="78"/>
      <c r="BI5" s="60"/>
      <c r="BJ5" s="72"/>
      <c r="BK5" s="81">
        <f aca="true" t="shared" si="6" ref="BK5:BK32">AZ5+BI5</f>
        <v>0</v>
      </c>
      <c r="BL5" s="82">
        <f aca="true" t="shared" si="7" ref="BL5:BL32">AY5+BA5+BB5-BC5+BD5+BE5+BF5+BH5+BJ5</f>
        <v>0.0008912037037037037</v>
      </c>
      <c r="BM5" s="82">
        <f aca="true" t="shared" si="8" ref="BM5:BM32">AV5+BL5</f>
        <v>0.0012372685185186969</v>
      </c>
      <c r="BN5" s="83" t="s">
        <v>135</v>
      </c>
      <c r="BO5" s="84" t="s">
        <v>135</v>
      </c>
      <c r="BP5" s="85">
        <v>1</v>
      </c>
      <c r="BQ5" s="54">
        <v>1</v>
      </c>
    </row>
    <row r="6" spans="1:69" ht="17.25" customHeight="1">
      <c r="A6" s="86">
        <v>26</v>
      </c>
      <c r="B6" s="55" t="s">
        <v>53</v>
      </c>
      <c r="C6" s="56" t="s">
        <v>54</v>
      </c>
      <c r="D6" s="56" t="s">
        <v>2</v>
      </c>
      <c r="E6" s="56" t="s">
        <v>55</v>
      </c>
      <c r="F6" s="57">
        <v>3500</v>
      </c>
      <c r="G6" s="57">
        <v>1970</v>
      </c>
      <c r="H6" s="58" t="s">
        <v>136</v>
      </c>
      <c r="I6" s="58" t="s">
        <v>136</v>
      </c>
      <c r="J6" s="59">
        <f>IF(I6="","",IF(I6=0,'[1]М лист'!$C$32,ABS(I6-H6)))</f>
        <v>0</v>
      </c>
      <c r="K6" s="60">
        <f t="shared" si="0"/>
        <v>0</v>
      </c>
      <c r="L6" s="61"/>
      <c r="M6" s="62">
        <v>0.5631944444444444</v>
      </c>
      <c r="N6" s="59">
        <f>IF(M6="","",IF(M6=0,'[1]М лист'!$C$32,IF(I6=0,0,ABS(M6-I6-'[1]М лист'!$D$10))))</f>
        <v>1.0408340855860843E-17</v>
      </c>
      <c r="O6" s="60">
        <f>IF(M6="","",IF((M6-I6-'[1]М лист'!$D$10)&gt;0,ABS(M6-I6-'[1]М лист'!$D$10),0))</f>
        <v>1.0408340855860843E-17</v>
      </c>
      <c r="P6" s="61"/>
      <c r="Q6" s="63">
        <v>0.00021064814814814815</v>
      </c>
      <c r="R6" s="61"/>
      <c r="S6" s="64">
        <v>0.579861111111111</v>
      </c>
      <c r="T6" s="65">
        <f>IF(S6="",0,IF(S6=0,'[1]М лист'!$C$32,IF(M6=0,0,S6-M6)))</f>
        <v>0.016666666666666607</v>
      </c>
      <c r="U6" s="66">
        <f>IF(S6="",0,IF(S6=0,'[1]М лист'!$C$32,IF(T6="",0,IF(T6&lt;('[1]М лист'!$C$37-'[1]М лист'!$C$38),'[1]М лист'!$C$37-'[1]М лист'!$C$38-T6,0))))</f>
        <v>0</v>
      </c>
      <c r="V6" s="67">
        <v>0.5847222222222223</v>
      </c>
      <c r="W6" s="68">
        <f>IF(V6="",0,IF(V6="",0,IF(V6=0,'[1]М лист'!$C$32,IF(M6=0,0,ABS(V6-M6-'[1]М лист'!$D$12)))))</f>
        <v>3.122502256758253E-17</v>
      </c>
      <c r="X6" s="69">
        <f>IF(V6="",0,IF(M6=0,0,IF((V6-M6-'[1]М лист'!$D$12)&gt;0,ABS(V6-M6-'[1]М лист'!$D$12),0)))</f>
        <v>3.122502256758253E-17</v>
      </c>
      <c r="Y6" s="70"/>
      <c r="Z6" s="71">
        <v>0.5986111111111111</v>
      </c>
      <c r="AA6" s="59">
        <f>IF(Z6="",0,IF(Z6="",0,IF(Z6=0,'[1]М лист'!$C$32,IF(V6=0,0,ABS(Z6-V6-'[1]М лист'!$D$13)))))</f>
        <v>4.85722573273506E-17</v>
      </c>
      <c r="AB6" s="60">
        <f>IF(Z6="",0,IF(V6=0,0,IF((Z6-V6-'[1]М лист'!$D$13)&gt;0,ABS(Z6-V6-'[1]М лист'!$D$13),0)))</f>
        <v>0</v>
      </c>
      <c r="AC6" s="72"/>
      <c r="AD6" s="62">
        <v>0.6069444444444444</v>
      </c>
      <c r="AE6" s="73">
        <v>0.6100231481481482</v>
      </c>
      <c r="AF6" s="65">
        <f t="shared" si="1"/>
        <v>0.003078703703703778</v>
      </c>
      <c r="AG6" s="74">
        <f>IF(AF6="","",IF(('[1]М лист'!$D$14-'[1]М лист'!$C$33-AF6)&gt;'[1]М лист'!C$36,'[1]М лист'!$C$36,IF(AF6&gt;('[1]М лист'!D$14+'[1]М лист'!$C$33),AF6-'[1]М лист'!D$14-'[1]М лист'!$C$33,IF(AF6&lt;('[1]М лист'!$D$14-'[1]М лист'!$C$33),'[1]М лист'!$D$14-'[1]М лист'!$C$33-AF6,0))))</f>
        <v>8.10185185184443E-05</v>
      </c>
      <c r="AH6" s="74">
        <f>IF(AE6="","",IF(AG6&gt;'[1]М лист'!$C$36,'[1]М лист'!$C$36,AG6))</f>
        <v>8.10185185184443E-05</v>
      </c>
      <c r="AI6" s="61"/>
      <c r="AJ6" s="62">
        <v>0.6173611111111111</v>
      </c>
      <c r="AK6" s="73">
        <v>0.6201851851851852</v>
      </c>
      <c r="AL6" s="65">
        <f t="shared" si="2"/>
        <v>0.0028240740740740344</v>
      </c>
      <c r="AM6" s="74">
        <f>IF(AL6="","",IF(AL6&gt;('[1]М лист'!$D$15+'[1]М лист'!$C$33),AL6-'[1]М лист'!$D$15-'[1]М лист'!$C$33,IF(AL6&lt;('[1]М лист'!$D$15-'[1]М лист'!$C$33),'[1]М лист'!$D$15-'[1]М лист'!$C$33-AL6,0)))</f>
        <v>0.00015046296296292367</v>
      </c>
      <c r="AN6" s="74">
        <f>IF(AK6="","",IF(AM6&gt;'[1]М лист'!$C$36,'[1]М лист'!$C$36,AM6))</f>
        <v>0.00015046296296292367</v>
      </c>
      <c r="AO6" s="61"/>
      <c r="AP6" s="75"/>
      <c r="AQ6" s="64">
        <v>0.6444444444444445</v>
      </c>
      <c r="AR6" s="59"/>
      <c r="AS6" s="60">
        <v>0</v>
      </c>
      <c r="AT6" s="72"/>
      <c r="AU6" s="76">
        <f t="shared" si="3"/>
        <v>4.163336342344337E-17</v>
      </c>
      <c r="AV6" s="77">
        <f t="shared" si="4"/>
        <v>0.00044212962962960635</v>
      </c>
      <c r="AW6" s="62">
        <v>0.6993055555555556</v>
      </c>
      <c r="AX6" s="58">
        <v>0.6993055555555556</v>
      </c>
      <c r="AY6" s="78">
        <f>IF(AX6="","",IF(AX6="",0,IF(AX6=0,'[1]М лист'!$C$32,ABS(AX6-AW6))))</f>
        <v>0</v>
      </c>
      <c r="AZ6" s="60">
        <f t="shared" si="5"/>
        <v>0</v>
      </c>
      <c r="BA6" s="61"/>
      <c r="BB6" s="79">
        <v>0.0009259259259259259</v>
      </c>
      <c r="BC6" s="61"/>
      <c r="BD6" s="80"/>
      <c r="BE6" s="63">
        <v>0.0004641203703703704</v>
      </c>
      <c r="BF6" s="61"/>
      <c r="BG6" s="71">
        <v>0.7520833333333333</v>
      </c>
      <c r="BH6" s="78">
        <f>IF(BG6="","",IF(BG6="",0,IF(BG6=0,'[1]М лист'!$C$32,IF(AX6=0,0,IF((BG6-AX6-'[1]М лист'!$D$23)&gt;0,BG6-AX6-'[1]М лист'!$D$23,0)))))</f>
        <v>0</v>
      </c>
      <c r="BI6" s="60">
        <f>IF(BG6="","",IF(AX6=0,0,IF((BG6-AX6-'[1]М лист'!$D$23)&gt;0,ABS(BG6-AX6-'[1]М лист'!$D$23),0)))</f>
        <v>0</v>
      </c>
      <c r="BJ6" s="72"/>
      <c r="BK6" s="81">
        <f t="shared" si="6"/>
        <v>0</v>
      </c>
      <c r="BL6" s="82">
        <f t="shared" si="7"/>
        <v>0.0013900462962962963</v>
      </c>
      <c r="BM6" s="82">
        <f t="shared" si="8"/>
        <v>0.0018321759259259027</v>
      </c>
      <c r="BN6" s="87">
        <f aca="true" t="shared" si="9" ref="BN6:BN32">IF(BM6="","",BM6-BM$5)</f>
        <v>0.0005949074074072058</v>
      </c>
      <c r="BO6" s="88">
        <f aca="true" t="shared" si="10" ref="BO6:BO32">IF(BM6="","",BM6-BM5)</f>
        <v>0.0005949074074072058</v>
      </c>
      <c r="BP6" s="89">
        <v>2</v>
      </c>
      <c r="BQ6" s="86">
        <v>26</v>
      </c>
    </row>
    <row r="7" spans="1:69" ht="17.25" customHeight="1">
      <c r="A7" s="86">
        <v>6</v>
      </c>
      <c r="B7" s="55" t="s">
        <v>25</v>
      </c>
      <c r="C7" s="56" t="s">
        <v>26</v>
      </c>
      <c r="D7" s="56" t="s">
        <v>2</v>
      </c>
      <c r="E7" s="56" t="s">
        <v>27</v>
      </c>
      <c r="F7" s="57">
        <v>8000</v>
      </c>
      <c r="G7" s="57">
        <v>1986</v>
      </c>
      <c r="H7" s="58" t="s">
        <v>137</v>
      </c>
      <c r="I7" s="58" t="s">
        <v>137</v>
      </c>
      <c r="J7" s="59">
        <f>IF(I7="","",IF(I7=0,'[1]М лист'!$C$32,ABS(I7-H7)))</f>
        <v>0</v>
      </c>
      <c r="K7" s="60">
        <f t="shared" si="0"/>
        <v>0</v>
      </c>
      <c r="L7" s="61"/>
      <c r="M7" s="62">
        <v>0.5354166666666667</v>
      </c>
      <c r="N7" s="59">
        <f>IF(M7="","",IF(M7=0,'[1]М лист'!$C$32,IF(I7=0,0,ABS(M7-I7-'[1]М лист'!$D$10))))</f>
        <v>1.0408340855860843E-17</v>
      </c>
      <c r="O7" s="60">
        <f>IF(M7="","",IF((M7-I7-'[1]М лист'!$D$10)&gt;0,ABS(M7-I7-'[1]М лист'!$D$10),0))</f>
        <v>1.0408340855860843E-17</v>
      </c>
      <c r="P7" s="61"/>
      <c r="Q7" s="63">
        <v>0.00038194444444444446</v>
      </c>
      <c r="R7" s="61"/>
      <c r="S7" s="64">
        <v>0.5527777777777778</v>
      </c>
      <c r="T7" s="65">
        <f>IF(S7="",0,IF(S7=0,'[1]М лист'!$C$32,IF(M7=0,0,S7-M7)))</f>
        <v>0.01736111111111116</v>
      </c>
      <c r="U7" s="66">
        <f>IF(S7="",0,IF(S7=0,'[1]М лист'!$C$32,IF(T7="",0,IF(T7&lt;('[1]М лист'!$C$37-'[1]М лист'!$C$38),'[1]М лист'!$C$37-'[1]М лист'!$C$38-T7,0))))</f>
        <v>0</v>
      </c>
      <c r="V7" s="67">
        <v>0.5576388888888889</v>
      </c>
      <c r="W7" s="68">
        <f>IF(V7="",0,IF(V7="",0,IF(V7=0,'[1]М лист'!$C$32,IF(M7=0,0,ABS(V7-M7-'[1]М лист'!$D$12)))))</f>
        <v>0.0006944444444444732</v>
      </c>
      <c r="X7" s="69">
        <f>IF(V7="",0,IF(M7=0,0,IF((V7-M7-'[1]М лист'!$D$12)&gt;0,ABS(V7-M7-'[1]М лист'!$D$12),0)))</f>
        <v>0.0006944444444444732</v>
      </c>
      <c r="Y7" s="70"/>
      <c r="Z7" s="71">
        <v>0.5708333333333333</v>
      </c>
      <c r="AA7" s="59">
        <f>IF(Z7="",0,IF(Z7="",0,IF(Z7=0,'[1]М лист'!$C$32,IF(V7=0,0,ABS(Z7-V7-'[1]М лист'!$D$13)))))</f>
        <v>0.0006944444444444905</v>
      </c>
      <c r="AB7" s="60">
        <f>IF(Z7="",0,IF(V7=0,0,IF((Z7-V7-'[1]М лист'!$D$13)&gt;0,ABS(Z7-V7-'[1]М лист'!$D$13),0)))</f>
        <v>0</v>
      </c>
      <c r="AC7" s="72"/>
      <c r="AD7" s="62">
        <v>0.5729166666666666</v>
      </c>
      <c r="AE7" s="73">
        <v>0.5762268518518519</v>
      </c>
      <c r="AF7" s="65">
        <f t="shared" si="1"/>
        <v>0.0033101851851852215</v>
      </c>
      <c r="AG7" s="74">
        <f>IF(AF7="",0,IF(('[1]М лист'!$D$14-'[1]М лист'!$C$33-AF7)&gt;'[1]М лист'!C$36,'[1]М лист'!$C$36,IF(AF7&gt;('[1]М лист'!D$14+'[1]М лист'!$C$33),AF7-'[1]М лист'!D$14-'[1]М лист'!$C$33,IF(AF7&lt;('[1]М лист'!$D$14-'[1]М лист'!$C$33),'[1]М лист'!$D$14-'[1]М лист'!$C$33-AF7,0))))</f>
        <v>8.101851851855511E-05</v>
      </c>
      <c r="AH7" s="74">
        <f>IF(AE7="",0,IF(AG7&gt;'[1]М лист'!$C$36,'[1]М лист'!$C$36,AG7))</f>
        <v>8.101851851855511E-05</v>
      </c>
      <c r="AI7" s="61"/>
      <c r="AJ7" s="62">
        <v>0.579861111111111</v>
      </c>
      <c r="AK7" s="73">
        <v>0.5825231481481482</v>
      </c>
      <c r="AL7" s="65">
        <f t="shared" si="2"/>
        <v>0.002662037037037157</v>
      </c>
      <c r="AM7" s="74">
        <f>IF(AL7="",0,IF(AL7&gt;('[1]М лист'!$D$15+'[1]М лист'!$C$33),AL7-'[1]М лист'!$D$15-'[1]М лист'!$C$33,IF(AL7&lt;('[1]М лист'!$D$15-'[1]М лист'!$C$33),'[1]М лист'!$D$15-'[1]М лист'!$C$33-AL7,0)))</f>
        <v>0</v>
      </c>
      <c r="AN7" s="74">
        <f>IF(AK7="","",IF(AM7&gt;'[1]М лист'!$C$36,'[1]М лист'!$C$36,AM7))</f>
        <v>0</v>
      </c>
      <c r="AO7" s="61"/>
      <c r="AP7" s="75"/>
      <c r="AQ7" s="64">
        <v>0.6048611111111112</v>
      </c>
      <c r="AR7" s="59">
        <f>IF(AQ7="",0,IF(AQ7="",0,IF(AQ7=0,'[1]М лист'!$C$32,IF(AD7=0,0,IF((AQ7-AD7-'[1]М лист'!$D$16)&gt;0,AQ7-AD7-'[1]М лист'!$D$16,0)))))</f>
        <v>0</v>
      </c>
      <c r="AS7" s="60">
        <f>IF(AQ7="",0,IF(AD7=0,0,IF((AQ7-AD7-'[1]М лист'!$D$16)&gt;0,ABS(AQ7-AD7-'[1]М лист'!$D$16),0)))</f>
        <v>0</v>
      </c>
      <c r="AT7" s="72"/>
      <c r="AU7" s="76">
        <f t="shared" si="3"/>
        <v>0.0006944444444444836</v>
      </c>
      <c r="AV7" s="77">
        <f t="shared" si="4"/>
        <v>0.0018518518518519738</v>
      </c>
      <c r="AW7" s="62">
        <v>0.6729166666666666</v>
      </c>
      <c r="AX7" s="58">
        <v>0.6729166666666666</v>
      </c>
      <c r="AY7" s="78">
        <f>IF(AX7="","",IF(AX7="",0,IF(AX7=0,'[1]М лист'!$C$32,ABS(AX7-AW7))))</f>
        <v>0</v>
      </c>
      <c r="AZ7" s="60">
        <f t="shared" si="5"/>
        <v>0</v>
      </c>
      <c r="BA7" s="61"/>
      <c r="BB7" s="79">
        <v>0.000636574074074074</v>
      </c>
      <c r="BC7" s="61"/>
      <c r="BD7" s="80"/>
      <c r="BE7" s="63">
        <v>0.0005902777777777778</v>
      </c>
      <c r="BF7" s="61"/>
      <c r="BG7" s="71">
        <v>0.7263888888888889</v>
      </c>
      <c r="BH7" s="78">
        <f>IF(BG7="","",IF(BG7="",0,IF(BG7=0,'[1]М лист'!$C$32,IF(AX7=0,0,IF((BG7-AX7-'[1]М лист'!$D$23)&gt;0,BG7-AX7-'[1]М лист'!$D$23,0)))))</f>
        <v>0</v>
      </c>
      <c r="BI7" s="60">
        <f>IF(BG7="","",IF(AX7=0,0,IF((BG7-AX7-'[1]М лист'!$D$23)&gt;0,ABS(BG7-AX7-'[1]М лист'!$D$23),0)))</f>
        <v>0</v>
      </c>
      <c r="BJ7" s="72"/>
      <c r="BK7" s="81">
        <f t="shared" si="6"/>
        <v>0</v>
      </c>
      <c r="BL7" s="82">
        <f t="shared" si="7"/>
        <v>0.0012268518518518518</v>
      </c>
      <c r="BM7" s="82">
        <f t="shared" si="8"/>
        <v>0.0030787037037038256</v>
      </c>
      <c r="BN7" s="87">
        <f t="shared" si="9"/>
        <v>0.0018414351851851287</v>
      </c>
      <c r="BO7" s="88">
        <f t="shared" si="10"/>
        <v>0.0012465277777779229</v>
      </c>
      <c r="BP7" s="85">
        <v>3</v>
      </c>
      <c r="BQ7" s="86">
        <v>6</v>
      </c>
    </row>
    <row r="8" spans="1:69" ht="17.25" customHeight="1">
      <c r="A8" s="90">
        <v>17</v>
      </c>
      <c r="B8" s="55" t="s">
        <v>43</v>
      </c>
      <c r="C8" s="56" t="s">
        <v>44</v>
      </c>
      <c r="D8" s="56" t="s">
        <v>2</v>
      </c>
      <c r="E8" s="56" t="s">
        <v>45</v>
      </c>
      <c r="F8" s="57">
        <v>4887</v>
      </c>
      <c r="G8" s="57">
        <v>1957</v>
      </c>
      <c r="H8" s="58" t="s">
        <v>138</v>
      </c>
      <c r="I8" s="58" t="s">
        <v>138</v>
      </c>
      <c r="J8" s="59">
        <f>IF(I8="","",IF(I8=0,'[1]М лист'!$C$32,ABS(I8-H8)))</f>
        <v>0</v>
      </c>
      <c r="K8" s="60">
        <f t="shared" si="0"/>
        <v>0</v>
      </c>
      <c r="L8" s="61"/>
      <c r="M8" s="62">
        <v>0.5506944444444445</v>
      </c>
      <c r="N8" s="59">
        <f>IF(M8="","",IF(M8=0,'[1]М лист'!$C$32,IF(I8=0,0,ABS(M8-I8-'[1]М лист'!$D$10))))</f>
        <v>1.0408340855860843E-17</v>
      </c>
      <c r="O8" s="60">
        <f>IF(M8="","",IF((M8-I8-'[1]М лист'!$D$10)&gt;0,ABS(M8-I8-'[1]М лист'!$D$10),0))</f>
        <v>1.0408340855860843E-17</v>
      </c>
      <c r="P8" s="61"/>
      <c r="Q8" s="63">
        <v>0.0002743055555555555</v>
      </c>
      <c r="R8" s="61"/>
      <c r="S8" s="64">
        <v>0.5694444444444444</v>
      </c>
      <c r="T8" s="65">
        <f>IF(S8="",0,IF(S8=0,'[1]М лист'!$C$32,IF(M8=0,0,S8-M8)))</f>
        <v>0.018749999999999933</v>
      </c>
      <c r="U8" s="66">
        <f>IF(S8="",0,IF(S8=0,'[1]М лист'!$C$32,IF(T8="",0,IF(T8&lt;('[1]М лист'!$C$37-'[1]М лист'!$C$38),'[1]М лист'!$C$37-'[1]М лист'!$C$38-T8,0))))</f>
        <v>0</v>
      </c>
      <c r="V8" s="67">
        <v>0.5736111111111112</v>
      </c>
      <c r="W8" s="68">
        <f>IF(V8="",0,IF(V8="",0,IF(V8=0,'[1]М лист'!$C$32,IF(M8=0,0,ABS(V8-M8-'[1]М лист'!$D$12)))))</f>
        <v>0.0013888888888889152</v>
      </c>
      <c r="X8" s="69">
        <f>IF(V8="",0,IF(M8=0,0,IF((V8-M8-'[1]М лист'!$D$12)&gt;0,ABS(V8-M8-'[1]М лист'!$D$12),0)))</f>
        <v>0.0013888888888889152</v>
      </c>
      <c r="Y8" s="70"/>
      <c r="Z8" s="71">
        <v>0.5881944444444445</v>
      </c>
      <c r="AA8" s="59">
        <f>IF(Z8="",0,IF(Z8="",0,IF(Z8=0,'[1]М лист'!$C$32,IF(V8=0,0,ABS(Z8-V8-'[1]М лист'!$D$13)))))</f>
        <v>0.0006944444444443934</v>
      </c>
      <c r="AB8" s="60">
        <f>IF(Z8="",0,IF(V8=0,0,IF((Z8-V8-'[1]М лист'!$D$13)&gt;0,ABS(Z8-V8-'[1]М лист'!$D$13),0)))</f>
        <v>0.0006944444444443934</v>
      </c>
      <c r="AC8" s="72"/>
      <c r="AD8" s="62">
        <v>0.5909722222222222</v>
      </c>
      <c r="AE8" s="73">
        <v>0.5941087962962963</v>
      </c>
      <c r="AF8" s="65">
        <f t="shared" si="1"/>
        <v>0.0031365740740740833</v>
      </c>
      <c r="AG8" s="74">
        <f>IF(AF8="","",IF(('[1]М лист'!$D$14-'[1]М лист'!$C$33-AF8)&gt;'[1]М лист'!C$36,'[1]М лист'!$C$36,IF(AF8&gt;('[1]М лист'!D$14+'[1]М лист'!$C$33),AF8-'[1]М лист'!D$14-'[1]М лист'!$C$33,IF(AF8&lt;('[1]М лист'!$D$14-'[1]М лист'!$C$33),'[1]М лист'!$D$14-'[1]М лист'!$C$33-AF8,0))))</f>
        <v>2.31481481481389E-05</v>
      </c>
      <c r="AH8" s="74">
        <f>IF(AE8="","",IF(AG8&gt;'[1]М лист'!$C$36,'[1]М лист'!$C$36,AG8))</f>
        <v>2.31481481481389E-05</v>
      </c>
      <c r="AI8" s="61"/>
      <c r="AJ8" s="62">
        <v>0.5979166666666667</v>
      </c>
      <c r="AK8" s="73">
        <v>0.6004861111111112</v>
      </c>
      <c r="AL8" s="65">
        <f t="shared" si="2"/>
        <v>0.002569444444444513</v>
      </c>
      <c r="AM8" s="74">
        <f>IF(AL8="","",IF(AL8&gt;('[1]М лист'!$D$15+'[1]М лист'!$C$33),AL8-'[1]М лист'!$D$15-'[1]М лист'!$C$33,IF(AL8&lt;('[1]М лист'!$D$15-'[1]М лист'!$C$33),'[1]М лист'!$D$15-'[1]М лист'!$C$33-AL8,0)))</f>
        <v>3.472222222215349E-05</v>
      </c>
      <c r="AN8" s="74">
        <f>IF(AK8="","",IF(AM8&gt;'[1]М лист'!$C$36,'[1]М лист'!$C$36,AM8))</f>
        <v>3.472222222215349E-05</v>
      </c>
      <c r="AO8" s="61"/>
      <c r="AP8" s="75"/>
      <c r="AQ8" s="64">
        <v>0.6215277777777778</v>
      </c>
      <c r="AR8" s="59">
        <f>IF(AQ8="",0,IF(AQ8="",0,IF(AQ8=0,'[1]М лист'!$C$32,IF(AD8=0,0,IF((AQ8-AD8-'[1]М лист'!$D$16)&gt;0,AQ8-AD8-'[1]М лист'!$D$16,0)))))</f>
        <v>0</v>
      </c>
      <c r="AS8" s="60">
        <f>IF(AQ8="",0,IF(AD8=0,0,IF((AQ8-AD8-'[1]М лист'!$D$16)&gt;0,ABS(AQ8-AD8-'[1]М лист'!$D$16),0)))</f>
        <v>0</v>
      </c>
      <c r="AT8" s="72"/>
      <c r="AU8" s="76">
        <f t="shared" si="3"/>
        <v>0.002083333333333319</v>
      </c>
      <c r="AV8" s="77">
        <f t="shared" si="4"/>
        <v>0.002415509259259167</v>
      </c>
      <c r="AW8" s="62">
        <v>0.6868055555555556</v>
      </c>
      <c r="AX8" s="58">
        <v>0.6868055555555556</v>
      </c>
      <c r="AY8" s="78">
        <f>IF(AX8="","",IF(AX8="",0,IF(AX8=0,'[1]М лист'!$C$32,ABS(AX8-AW8))))</f>
        <v>0</v>
      </c>
      <c r="AZ8" s="60">
        <f t="shared" si="5"/>
        <v>0</v>
      </c>
      <c r="BA8" s="61"/>
      <c r="BB8" s="79">
        <v>0.0008101851851851852</v>
      </c>
      <c r="BC8" s="61"/>
      <c r="BD8" s="80"/>
      <c r="BE8" s="63">
        <v>0.0005196759259259259</v>
      </c>
      <c r="BF8" s="61">
        <v>0.00017361111111111112</v>
      </c>
      <c r="BG8" s="71">
        <v>0.7388888888888889</v>
      </c>
      <c r="BH8" s="78">
        <f>IF(BG8="","",IF(BG8="",0,IF(BG8=0,'[1]М лист'!$C$32,IF(AX8=0,0,IF((BG8-AX8-'[1]М лист'!$D$23)&gt;0,BG8-AX8-'[1]М лист'!$D$23,0)))))</f>
        <v>0</v>
      </c>
      <c r="BI8" s="60">
        <f>IF(BG8="","",IF(AX8=0,0,IF((BG8-AX8-'[1]М лист'!$D$23)&gt;0,ABS(BG8-AX8-'[1]М лист'!$D$23),0)))</f>
        <v>0</v>
      </c>
      <c r="BJ8" s="72"/>
      <c r="BK8" s="81">
        <f t="shared" si="6"/>
        <v>0</v>
      </c>
      <c r="BL8" s="82">
        <f t="shared" si="7"/>
        <v>0.0015034722222222222</v>
      </c>
      <c r="BM8" s="82">
        <f t="shared" si="8"/>
        <v>0.003918981481481389</v>
      </c>
      <c r="BN8" s="87">
        <f t="shared" si="9"/>
        <v>0.002681712962962692</v>
      </c>
      <c r="BO8" s="88">
        <f t="shared" si="10"/>
        <v>0.0008402777777775632</v>
      </c>
      <c r="BP8" s="89">
        <v>4</v>
      </c>
      <c r="BQ8" s="90">
        <v>17</v>
      </c>
    </row>
    <row r="9" spans="1:69" ht="17.25" customHeight="1">
      <c r="A9" s="90">
        <v>19</v>
      </c>
      <c r="B9" s="55" t="s">
        <v>40</v>
      </c>
      <c r="C9" s="56" t="s">
        <v>41</v>
      </c>
      <c r="D9" s="56" t="s">
        <v>2</v>
      </c>
      <c r="E9" s="56" t="s">
        <v>42</v>
      </c>
      <c r="F9" s="57">
        <v>7200</v>
      </c>
      <c r="G9" s="57">
        <v>1968</v>
      </c>
      <c r="H9" s="58" t="s">
        <v>139</v>
      </c>
      <c r="I9" s="58" t="s">
        <v>139</v>
      </c>
      <c r="J9" s="59">
        <f>IF(I9="","",IF(I9=0,'[1]М лист'!$C$32,ABS(I9-H9)))</f>
        <v>0</v>
      </c>
      <c r="K9" s="60">
        <f t="shared" si="0"/>
        <v>0</v>
      </c>
      <c r="L9" s="61"/>
      <c r="M9" s="62">
        <v>0.5534722222222223</v>
      </c>
      <c r="N9" s="59">
        <f>IF(M9="","",IF(M9=0,'[1]М лист'!$C$32,IF(I9=0,0,ABS(M9-I9-'[1]М лист'!$D$10))))</f>
        <v>1.0408340855860843E-17</v>
      </c>
      <c r="O9" s="60">
        <f>IF(M9="","",IF((M9-I9-'[1]М лист'!$D$10)&gt;0,ABS(M9-I9-'[1]М лист'!$D$10),0))</f>
        <v>1.0408340855860843E-17</v>
      </c>
      <c r="P9" s="61"/>
      <c r="Q9" s="63">
        <v>0.0002916666666666667</v>
      </c>
      <c r="R9" s="61"/>
      <c r="S9" s="64">
        <v>0.5701388888888889</v>
      </c>
      <c r="T9" s="65">
        <f>IF(S9="",0,IF(S9=0,'[1]М лист'!$C$32,IF(M9=0,0,S9-M9)))</f>
        <v>0.016666666666666607</v>
      </c>
      <c r="U9" s="66">
        <f>IF(S9="",0,IF(S9=0,'[1]М лист'!$C$32,IF(T9="",0,IF(T9&lt;('[1]М лист'!$C$37-'[1]М лист'!$C$38),'[1]М лист'!$C$37-'[1]М лист'!$C$38-T9,0))))</f>
        <v>0</v>
      </c>
      <c r="V9" s="67">
        <v>0.575</v>
      </c>
      <c r="W9" s="68">
        <f>IF(V9="",0,IF(V9="",0,IF(V9=0,'[1]М лист'!$C$32,IF(M9=0,0,ABS(V9-M9-'[1]М лист'!$D$12)))))</f>
        <v>7.979727989493313E-17</v>
      </c>
      <c r="X9" s="69">
        <f>IF(V9="",0,IF(M9=0,0,IF((V9-M9-'[1]М лист'!$D$12)&gt;0,ABS(V9-M9-'[1]М лист'!$D$12),0)))</f>
        <v>0</v>
      </c>
      <c r="Y9" s="70"/>
      <c r="Z9" s="71">
        <v>0.5888888888888889</v>
      </c>
      <c r="AA9" s="59">
        <f>IF(Z9="",0,IF(Z9="",0,IF(Z9=0,'[1]М лист'!$C$32,IF(V9=0,0,ABS(Z9-V9-'[1]М лист'!$D$13)))))</f>
        <v>6.245004513516506E-17</v>
      </c>
      <c r="AB9" s="60">
        <f>IF(Z9="",0,IF(V9=0,0,IF((Z9-V9-'[1]М лист'!$D$13)&gt;0,ABS(Z9-V9-'[1]М лист'!$D$13),0)))</f>
        <v>6.245004513516506E-17</v>
      </c>
      <c r="AC9" s="72"/>
      <c r="AD9" s="62">
        <v>0.5923611111111111</v>
      </c>
      <c r="AE9" s="73">
        <v>0.5956944444444444</v>
      </c>
      <c r="AF9" s="65">
        <f t="shared" si="1"/>
        <v>0.0033333333333332993</v>
      </c>
      <c r="AG9" s="74">
        <f>IF(AF9="","",IF(('[1]М лист'!$D$14-'[1]М лист'!$C$33-AF9)&gt;'[1]М лист'!C$36,'[1]М лист'!$C$36,IF(AF9&gt;('[1]М лист'!D$14+'[1]М лист'!$C$33),AF9-'[1]М лист'!D$14-'[1]М лист'!$C$33,IF(AF9&lt;('[1]М лист'!$D$14-'[1]М лист'!$C$33),'[1]М лист'!$D$14-'[1]М лист'!$C$33-AF9,0))))</f>
        <v>0.00010416666666663286</v>
      </c>
      <c r="AH9" s="74">
        <f>IF(AE9="","",IF(AG9&gt;'[1]М лист'!$C$36,'[1]М лист'!$C$36,AG9))</f>
        <v>0.00010416666666663286</v>
      </c>
      <c r="AI9" s="61"/>
      <c r="AJ9" s="62">
        <v>0.5993055555555555</v>
      </c>
      <c r="AK9" s="73">
        <v>0.6010648148148149</v>
      </c>
      <c r="AL9" s="65">
        <f t="shared" si="2"/>
        <v>0.0017592592592593492</v>
      </c>
      <c r="AM9" s="74">
        <f>IF(AL9="","",IF(AL9&gt;('[1]М лист'!$D$15+'[1]М лист'!$C$33),AL9-'[1]М лист'!$D$15-'[1]М лист'!$C$33,IF(AL9&lt;('[1]М лист'!$D$15-'[1]М лист'!$C$33),'[1]М лист'!$D$15-'[1]М лист'!$C$33-AL9,0)))</f>
        <v>0.0008449074074073173</v>
      </c>
      <c r="AN9" s="74">
        <f>IF(AK9="","",IF(AM9&gt;'[1]М лист'!$C$36,'[1]М лист'!$C$36,AM9))</f>
        <v>0.0008449074074073173</v>
      </c>
      <c r="AO9" s="61"/>
      <c r="AP9" s="75"/>
      <c r="AQ9" s="64">
        <v>0.6291666666666667</v>
      </c>
      <c r="AR9" s="59">
        <f>IF(AQ9="",0,IF(AQ9="",0,IF(AQ9=0,'[1]М лист'!$C$32,IF(AD9=0,0,IF((AQ9-AD9-'[1]М лист'!$D$16)&gt;0,AQ9-AD9-'[1]М лист'!$D$16,0)))))</f>
        <v>0.002083333333333312</v>
      </c>
      <c r="AS9" s="60">
        <f>IF(AQ9="",0,IF(AD9=0,0,IF((AQ9-AD9-'[1]М лист'!$D$16)&gt;0,ABS(AQ9-AD9-'[1]М лист'!$D$16),0)))</f>
        <v>0.002083333333333312</v>
      </c>
      <c r="AT9" s="72"/>
      <c r="AU9" s="76">
        <f t="shared" si="3"/>
        <v>0.002083333333333385</v>
      </c>
      <c r="AV9" s="77">
        <f t="shared" si="4"/>
        <v>0.0033240740740740817</v>
      </c>
      <c r="AW9" s="62">
        <v>0.6895833333333333</v>
      </c>
      <c r="AX9" s="62">
        <v>0.6895833333333333</v>
      </c>
      <c r="AY9" s="78">
        <f>IF(AX9="","",IF(AX9="",0,IF(AX9=0,'[1]М лист'!$C$32,ABS(AX9-AW9))))</f>
        <v>0</v>
      </c>
      <c r="AZ9" s="60">
        <f t="shared" si="5"/>
        <v>0</v>
      </c>
      <c r="BA9" s="61"/>
      <c r="BB9" s="79">
        <v>0.000636574074074074</v>
      </c>
      <c r="BC9" s="61"/>
      <c r="BD9" s="80"/>
      <c r="BE9" s="63">
        <v>0.0006770833333333334</v>
      </c>
      <c r="BF9" s="61"/>
      <c r="BG9" s="71">
        <v>0.7451388888888889</v>
      </c>
      <c r="BH9" s="78"/>
      <c r="BI9" s="60"/>
      <c r="BJ9" s="72"/>
      <c r="BK9" s="81">
        <f t="shared" si="6"/>
        <v>0</v>
      </c>
      <c r="BL9" s="82">
        <f t="shared" si="7"/>
        <v>0.0013136574074074075</v>
      </c>
      <c r="BM9" s="82">
        <f t="shared" si="8"/>
        <v>0.004637731481481489</v>
      </c>
      <c r="BN9" s="87">
        <f t="shared" si="9"/>
        <v>0.0034004629629627923</v>
      </c>
      <c r="BO9" s="88">
        <f t="shared" si="10"/>
        <v>0.0007187500000001004</v>
      </c>
      <c r="BP9" s="85">
        <v>5</v>
      </c>
      <c r="BQ9" s="90">
        <v>19</v>
      </c>
    </row>
    <row r="10" spans="1:69" ht="17.25" customHeight="1">
      <c r="A10" s="86">
        <v>5</v>
      </c>
      <c r="B10" s="55" t="s">
        <v>69</v>
      </c>
      <c r="C10" s="56" t="s">
        <v>70</v>
      </c>
      <c r="D10" s="56" t="s">
        <v>2</v>
      </c>
      <c r="E10" s="91" t="s">
        <v>71</v>
      </c>
      <c r="F10" s="57">
        <v>2000</v>
      </c>
      <c r="G10" s="57">
        <v>1966</v>
      </c>
      <c r="H10" s="58" t="s">
        <v>140</v>
      </c>
      <c r="I10" s="58" t="s">
        <v>140</v>
      </c>
      <c r="J10" s="59">
        <f>IF(I10="","",IF(I10=0,'[1]М лист'!$C$32,ABS(I10-H10)))</f>
        <v>0</v>
      </c>
      <c r="K10" s="60">
        <f t="shared" si="0"/>
        <v>0</v>
      </c>
      <c r="L10" s="61"/>
      <c r="M10" s="62">
        <v>0.5340277777777778</v>
      </c>
      <c r="N10" s="59">
        <f>IF(M10="","",IF(M10=0,'[1]М лист'!$C$32,IF(I10=0,0,ABS(M10-I10-'[1]М лист'!$D$10))))</f>
        <v>1.0408340855860843E-17</v>
      </c>
      <c r="O10" s="60">
        <f>IF(M10="","",IF((M10-I10-'[1]М лист'!$D$10)&gt;0,ABS(M10-I10-'[1]М лист'!$D$10),0))</f>
        <v>1.0408340855860843E-17</v>
      </c>
      <c r="P10" s="61"/>
      <c r="Q10" s="63">
        <v>0.0002303240740740741</v>
      </c>
      <c r="R10" s="61"/>
      <c r="S10" s="64">
        <v>0.5527777777777778</v>
      </c>
      <c r="T10" s="65">
        <f>IF(S10="",0,IF(S10=0,'[1]М лист'!$C$32,IF(M10=0,0,S10-M10)))</f>
        <v>0.018750000000000044</v>
      </c>
      <c r="U10" s="66">
        <f>IF(S10="",0,IF(S10=0,'[1]М лист'!$C$32,IF(T10="",0,IF(T10&lt;('[1]М лист'!$C$37-'[1]М лист'!$C$38),'[1]М лист'!$C$37-'[1]М лист'!$C$38-T10,0))))</f>
        <v>0</v>
      </c>
      <c r="V10" s="67">
        <v>0.5576388888888889</v>
      </c>
      <c r="W10" s="68">
        <f>IF(V10="",0,IF(V10="",0,IF(V10=0,'[1]М лист'!$C$32,IF(M10=0,0,ABS(V10-M10-'[1]М лист'!$D$12)))))</f>
        <v>0.002083333333333357</v>
      </c>
      <c r="X10" s="69">
        <f>IF(V10="",0,IF(M10=0,0,IF((V10-M10-'[1]М лист'!$D$12)&gt;0,ABS(V10-M10-'[1]М лист'!$D$12),0)))</f>
        <v>0.002083333333333357</v>
      </c>
      <c r="Y10" s="70"/>
      <c r="Z10" s="71">
        <v>0.5715277777777777</v>
      </c>
      <c r="AA10" s="59">
        <f>IF(Z10="",0,IF(Z10="",0,IF(Z10=0,'[1]М лист'!$C$32,IF(V10=0,0,ABS(Z10-V10-'[1]М лист'!$D$13)))))</f>
        <v>4.85722573273506E-17</v>
      </c>
      <c r="AB10" s="60">
        <f>IF(Z10="",0,IF(V10=0,0,IF((Z10-V10-'[1]М лист'!$D$13)&gt;0,ABS(Z10-V10-'[1]М лист'!$D$13),0)))</f>
        <v>0</v>
      </c>
      <c r="AC10" s="72"/>
      <c r="AD10" s="62">
        <v>0.5736111111111112</v>
      </c>
      <c r="AE10" s="73">
        <v>0.5763425925925926</v>
      </c>
      <c r="AF10" s="65">
        <f t="shared" si="1"/>
        <v>0.0027314814814813904</v>
      </c>
      <c r="AG10" s="74">
        <f>IF(AF10="",0,IF(('[1]М лист'!$D$14-'[1]М лист'!$C$33-AF10)&gt;'[1]М лист'!C$36,'[1]М лист'!$C$36,IF(AF10&gt;('[1]М лист'!D$14+'[1]М лист'!$C$33),AF10-'[1]М лист'!D$14-'[1]М лист'!$C$33,IF(AF10&lt;('[1]М лист'!$D$14-'[1]М лист'!$C$33),'[1]М лист'!$D$14-'[1]М лист'!$C$33-AF10,0))))</f>
        <v>0.0004282407407408318</v>
      </c>
      <c r="AH10" s="74">
        <f>IF(AE10="",0,IF(AG10&gt;'[1]М лист'!$C$36,'[1]М лист'!$C$36,AG10))</f>
        <v>0.0004282407407408318</v>
      </c>
      <c r="AI10" s="61"/>
      <c r="AJ10" s="62">
        <v>0.58125</v>
      </c>
      <c r="AK10" s="73">
        <v>0.5831828703703704</v>
      </c>
      <c r="AL10" s="65">
        <f t="shared" si="2"/>
        <v>0.0019328703703703765</v>
      </c>
      <c r="AM10" s="74">
        <f>IF(AL10="",0,IF(AL10&gt;('[1]М лист'!$D$15+'[1]М лист'!$C$33),AL10-'[1]М лист'!$D$15-'[1]М лист'!$C$33,IF(AL10&lt;('[1]М лист'!$D$15-'[1]М лист'!$C$33),'[1]М лист'!$D$15-'[1]М лист'!$C$33-AL10,0)))</f>
        <v>0.0006712962962962901</v>
      </c>
      <c r="AN10" s="74">
        <f>IF(AK10="","",IF(AM10&gt;'[1]М лист'!$C$36,'[1]М лист'!$C$36,AM10))</f>
        <v>0.0006712962962962901</v>
      </c>
      <c r="AO10" s="61"/>
      <c r="AP10" s="75"/>
      <c r="AQ10" s="64">
        <v>0.6048611111111112</v>
      </c>
      <c r="AR10" s="59">
        <f>IF(AQ10="",0,IF(AQ10="",0,IF(AQ10=0,'[1]М лист'!$C$32,IF(AD10=0,0,IF((AQ10-AD10-'[1]М лист'!$D$16)&gt;0,AQ10-AD10-'[1]М лист'!$D$16,0)))))</f>
        <v>0</v>
      </c>
      <c r="AS10" s="60">
        <f>IF(AQ10="",0,IF(AD10=0,0,IF((AQ10-AD10-'[1]М лист'!$D$16)&gt;0,ABS(AQ10-AD10-'[1]М лист'!$D$16),0)))</f>
        <v>0</v>
      </c>
      <c r="AT10" s="72"/>
      <c r="AU10" s="76">
        <f t="shared" si="3"/>
        <v>0.0020833333333333676</v>
      </c>
      <c r="AV10" s="77">
        <f t="shared" si="4"/>
        <v>0.0034131944444446122</v>
      </c>
      <c r="AW10" s="62">
        <v>0.6715277777777778</v>
      </c>
      <c r="AX10" s="62">
        <v>0.6715277777777778</v>
      </c>
      <c r="AY10" s="78">
        <f>IF(AX10="","",IF(AX10="",0,IF(AX10=0,'[1]М лист'!$C$32,ABS(AX10-AW10))))</f>
        <v>0</v>
      </c>
      <c r="AZ10" s="60">
        <f t="shared" si="5"/>
        <v>0</v>
      </c>
      <c r="BA10" s="61"/>
      <c r="BB10" s="79">
        <v>0.0007523148148148147</v>
      </c>
      <c r="BC10" s="61"/>
      <c r="BD10" s="80"/>
      <c r="BE10" s="63">
        <v>0.00034259259259259263</v>
      </c>
      <c r="BF10" s="61">
        <v>0.00017361111111111112</v>
      </c>
      <c r="BG10" s="71">
        <v>0.7277777777777777</v>
      </c>
      <c r="BH10" s="78"/>
      <c r="BI10" s="60"/>
      <c r="BJ10" s="72"/>
      <c r="BK10" s="81">
        <f t="shared" si="6"/>
        <v>0</v>
      </c>
      <c r="BL10" s="82">
        <f t="shared" si="7"/>
        <v>0.0012685185185185184</v>
      </c>
      <c r="BM10" s="82">
        <f t="shared" si="8"/>
        <v>0.0046817129629631304</v>
      </c>
      <c r="BN10" s="87">
        <f t="shared" si="9"/>
        <v>0.0034444444444444336</v>
      </c>
      <c r="BO10" s="88">
        <f t="shared" si="10"/>
        <v>4.3981481481641244E-05</v>
      </c>
      <c r="BP10" s="89">
        <v>6</v>
      </c>
      <c r="BQ10" s="86">
        <v>5</v>
      </c>
    </row>
    <row r="11" spans="1:69" ht="17.25" customHeight="1">
      <c r="A11" s="86">
        <v>27</v>
      </c>
      <c r="B11" s="55" t="s">
        <v>63</v>
      </c>
      <c r="C11" s="56" t="s">
        <v>64</v>
      </c>
      <c r="D11" s="56" t="s">
        <v>2</v>
      </c>
      <c r="E11" s="56" t="s">
        <v>65</v>
      </c>
      <c r="F11" s="57">
        <v>7300</v>
      </c>
      <c r="G11" s="57">
        <v>1977</v>
      </c>
      <c r="H11" s="58" t="s">
        <v>141</v>
      </c>
      <c r="I11" s="58" t="s">
        <v>141</v>
      </c>
      <c r="J11" s="59">
        <f>IF(I11="","",IF(I11=0,'[1]М лист'!$C$32,ABS(I11-H11)))</f>
        <v>0</v>
      </c>
      <c r="K11" s="60">
        <f t="shared" si="0"/>
        <v>0</v>
      </c>
      <c r="L11" s="61"/>
      <c r="M11" s="62">
        <v>0.5652777777777778</v>
      </c>
      <c r="N11" s="59">
        <f>IF(M11="","",IF(M11=0,'[1]М лист'!$C$32,IF(I11=0,0,ABS(M11-I11-'[1]М лист'!$D$10))))</f>
        <v>0.0006944444444444524</v>
      </c>
      <c r="O11" s="60">
        <f>IF(M11="","",IF((M11-I11-'[1]М лист'!$D$10)&gt;0,ABS(M11-I11-'[1]М лист'!$D$10),0))</f>
        <v>0.0006944444444444524</v>
      </c>
      <c r="P11" s="61"/>
      <c r="Q11" s="63">
        <v>0.000318287037037037</v>
      </c>
      <c r="R11" s="61"/>
      <c r="S11" s="64">
        <v>0.579861111111111</v>
      </c>
      <c r="T11" s="65">
        <f>IF(S11="",0,IF(S11=0,'[1]М лист'!$C$32,IF(M11=0,0,S11-M11)))</f>
        <v>0.014583333333333282</v>
      </c>
      <c r="U11" s="66">
        <v>0.0006944444444444445</v>
      </c>
      <c r="V11" s="67">
        <v>0.5861111111111111</v>
      </c>
      <c r="W11" s="68">
        <f>IF(V11="",0,IF(V11="",0,IF(V11=0,'[1]М лист'!$C$32,IF(M11=0,0,ABS(V11-M11-'[1]М лист'!$D$12)))))</f>
        <v>0.0006944444444444108</v>
      </c>
      <c r="X11" s="69">
        <f>IF(V11="",0,IF(M11=0,0,IF((V11-M11-'[1]М лист'!$D$12)&gt;0,ABS(V11-M11-'[1]М лист'!$D$12),0)))</f>
        <v>0</v>
      </c>
      <c r="Y11" s="70"/>
      <c r="Z11" s="71">
        <v>0.6013888888888889</v>
      </c>
      <c r="AA11" s="59">
        <f>IF(Z11="",0,IF(Z11="",0,IF(Z11=0,'[1]М лист'!$C$32,IF(V11=0,0,ABS(Z11-V11-'[1]М лист'!$D$13)))))</f>
        <v>0.0013888888888888354</v>
      </c>
      <c r="AB11" s="60">
        <f>IF(Z11="",0,IF(V11=0,0,IF((Z11-V11-'[1]М лист'!$D$13)&gt;0,ABS(Z11-V11-'[1]М лист'!$D$13),0)))</f>
        <v>0.0013888888888888354</v>
      </c>
      <c r="AC11" s="72"/>
      <c r="AD11" s="62">
        <v>0.6097222222222222</v>
      </c>
      <c r="AE11" s="73">
        <v>0.6129398148148147</v>
      </c>
      <c r="AF11" s="65">
        <f t="shared" si="1"/>
        <v>0.0032175925925925775</v>
      </c>
      <c r="AG11" s="74">
        <f>IF(AF11="","",IF(('[1]М лист'!$D$14-'[1]М лист'!$C$33-AF11)&gt;'[1]М лист'!C$36,'[1]М лист'!$C$36,IF(AF11&gt;('[1]М лист'!D$14+'[1]М лист'!$C$33),AF11-'[1]М лист'!D$14-'[1]М лист'!$C$33,IF(AF11&lt;('[1]М лист'!$D$14-'[1]М лист'!$C$33),'[1]М лист'!$D$14-'[1]М лист'!$C$33-AF11,0))))</f>
        <v>0</v>
      </c>
      <c r="AH11" s="74">
        <f>IF(AE11="","",IF(AG11&gt;'[1]М лист'!$C$36,'[1]М лист'!$C$36,AG11))</f>
        <v>0</v>
      </c>
      <c r="AI11" s="61"/>
      <c r="AJ11" s="62">
        <v>0.6201388888888889</v>
      </c>
      <c r="AK11" s="73">
        <v>0.6228240740740741</v>
      </c>
      <c r="AL11" s="65">
        <f t="shared" si="2"/>
        <v>0.002685185185185235</v>
      </c>
      <c r="AM11" s="74">
        <f>IF(AL11="","",IF(AL11&gt;('[1]М лист'!$D$15+'[1]М лист'!$C$33),AL11-'[1]М лист'!$D$15-'[1]М лист'!$C$33,IF(AL11&lt;('[1]М лист'!$D$15-'[1]М лист'!$C$33),'[1]М лист'!$D$15-'[1]М лист'!$C$33-AL11,0)))</f>
        <v>1.1574074074124101E-05</v>
      </c>
      <c r="AN11" s="74">
        <f>IF(AK11="","",IF(AM11&gt;'[1]М лист'!$C$36,'[1]М лист'!$C$36,AM11))</f>
        <v>1.1574074074124101E-05</v>
      </c>
      <c r="AO11" s="61"/>
      <c r="AP11" s="75"/>
      <c r="AQ11" s="64">
        <v>0.64375</v>
      </c>
      <c r="AR11" s="59">
        <f>IF(AQ11="",0,IF(AQ11="",0,IF(AQ11=0,'[1]М лист'!$C$32,IF(AD11=0,0,IF((AQ11-AD11-'[1]М лист'!$D$16)&gt;0,AQ11-AD11-'[1]М лист'!$D$16,0)))))</f>
        <v>0</v>
      </c>
      <c r="AS11" s="60">
        <f>IF(AQ11="",0,IF(AD11=0,0,IF((AQ11-AD11-'[1]М лист'!$D$16)&gt;0,ABS(AQ11-AD11-'[1]М лист'!$D$16),0)))</f>
        <v>0</v>
      </c>
      <c r="AT11" s="72"/>
      <c r="AU11" s="76">
        <f t="shared" si="3"/>
        <v>0.0020833333333332878</v>
      </c>
      <c r="AV11" s="77">
        <f t="shared" si="4"/>
        <v>0.0038020833333333045</v>
      </c>
      <c r="AW11" s="62">
        <v>0.7006944444444444</v>
      </c>
      <c r="AX11" s="62">
        <v>0.7006944444444444</v>
      </c>
      <c r="AY11" s="78">
        <f>IF(AX11="","",IF(AX11="",0,IF(AX11=0,'[1]М лист'!$C$32,ABS(AX11-AW11))))</f>
        <v>0</v>
      </c>
      <c r="AZ11" s="60">
        <f t="shared" si="5"/>
        <v>0</v>
      </c>
      <c r="BA11" s="61"/>
      <c r="BB11" s="79">
        <v>0.0006944444444444445</v>
      </c>
      <c r="BC11" s="61"/>
      <c r="BD11" s="80"/>
      <c r="BE11" s="63">
        <v>0.0011840277777777778</v>
      </c>
      <c r="BF11" s="61"/>
      <c r="BG11" s="71">
        <v>0.7548611111111111</v>
      </c>
      <c r="BH11" s="78">
        <f>IF(BG11="","",IF(BG11="",0,IF(BG11=0,'[1]М лист'!$C$32,IF(AX11=0,0,IF((BG11-AX11-'[1]М лист'!$D$23)&gt;0,BG11-AX11-'[1]М лист'!$D$23,0)))))</f>
        <v>0</v>
      </c>
      <c r="BI11" s="60">
        <f>IF(BG11="","",IF(AX11=0,0,IF((BG11-AX11-'[1]М лист'!$D$23)&gt;0,ABS(BG11-AX11-'[1]М лист'!$D$23),0)))</f>
        <v>0</v>
      </c>
      <c r="BJ11" s="72"/>
      <c r="BK11" s="81">
        <f t="shared" si="6"/>
        <v>0</v>
      </c>
      <c r="BL11" s="82">
        <f t="shared" si="7"/>
        <v>0.0018784722222222223</v>
      </c>
      <c r="BM11" s="82">
        <f t="shared" si="8"/>
        <v>0.005680555555555527</v>
      </c>
      <c r="BN11" s="87">
        <f t="shared" si="9"/>
        <v>0.004443287037036831</v>
      </c>
      <c r="BO11" s="88">
        <f t="shared" si="10"/>
        <v>0.0009988425925923968</v>
      </c>
      <c r="BP11" s="85">
        <v>7</v>
      </c>
      <c r="BQ11" s="86">
        <v>27</v>
      </c>
    </row>
    <row r="12" spans="1:69" ht="17.25" customHeight="1">
      <c r="A12" s="86">
        <v>7</v>
      </c>
      <c r="B12" s="55" t="s">
        <v>74</v>
      </c>
      <c r="C12" s="56" t="s">
        <v>75</v>
      </c>
      <c r="D12" s="56" t="s">
        <v>2</v>
      </c>
      <c r="E12" s="56" t="s">
        <v>76</v>
      </c>
      <c r="F12" s="57">
        <v>8000</v>
      </c>
      <c r="G12" s="57">
        <v>1985</v>
      </c>
      <c r="H12" s="58" t="s">
        <v>142</v>
      </c>
      <c r="I12" s="58" t="s">
        <v>142</v>
      </c>
      <c r="J12" s="59">
        <f>IF(I12="","",IF(I12=0,'[1]М лист'!$C$32,ABS(I12-H12)))</f>
        <v>0</v>
      </c>
      <c r="K12" s="60">
        <f t="shared" si="0"/>
        <v>0</v>
      </c>
      <c r="L12" s="61"/>
      <c r="M12" s="62">
        <v>0.5368055555555555</v>
      </c>
      <c r="N12" s="59">
        <f>IF(M12="","",IF(M12=0,'[1]М лист'!$C$32,IF(I12=0,0,ABS(M12-I12-'[1]М лист'!$D$10))))</f>
        <v>1.0408340855860843E-17</v>
      </c>
      <c r="O12" s="60">
        <f>IF(M12="","",IF((M12-I12-'[1]М лист'!$D$10)&gt;0,ABS(M12-I12-'[1]М лист'!$D$10),0))</f>
        <v>1.0408340855860843E-17</v>
      </c>
      <c r="P12" s="61"/>
      <c r="Q12" s="63">
        <v>0.0004930555555555556</v>
      </c>
      <c r="R12" s="61"/>
      <c r="S12" s="64">
        <v>0.55625</v>
      </c>
      <c r="T12" s="65">
        <f>IF(S12="",0,IF(S12=0,'[1]М лист'!$C$32,IF(M12=0,0,S12-M12)))</f>
        <v>0.019444444444444486</v>
      </c>
      <c r="U12" s="66">
        <f>IF(S12="",0,IF(S12=0,'[1]М лист'!$C$32,IF(T12="",0,IF(T12&lt;('[1]М лист'!$C$37-'[1]М лист'!$C$38),'[1]М лист'!$C$37-'[1]М лист'!$C$38-T12,0))))</f>
        <v>0</v>
      </c>
      <c r="V12" s="67">
        <v>0.5604166666666667</v>
      </c>
      <c r="W12" s="68">
        <f>IF(V12="",0,IF(V12="",0,IF(V12=0,'[1]М лист'!$C$32,IF(M12=0,0,ABS(V12-M12-'[1]М лист'!$D$12)))))</f>
        <v>0.002083333333333357</v>
      </c>
      <c r="X12" s="69">
        <f>IF(V12="",0,IF(M12=0,0,IF((V12-M12-'[1]М лист'!$D$12)&gt;0,ABS(V12-M12-'[1]М лист'!$D$12),0)))</f>
        <v>0.002083333333333357</v>
      </c>
      <c r="Y12" s="70"/>
      <c r="Z12" s="71">
        <v>0.575</v>
      </c>
      <c r="AA12" s="59">
        <f>IF(Z12="",0,IF(Z12="",0,IF(Z12=0,'[1]М лист'!$C$32,IF(V12=0,0,ABS(Z12-V12-'[1]М лист'!$D$13)))))</f>
        <v>0.0006944444444443934</v>
      </c>
      <c r="AB12" s="60">
        <f>IF(Z12="",0,IF(V12=0,0,IF((Z12-V12-'[1]М лист'!$D$13)&gt;0,ABS(Z12-V12-'[1]М лист'!$D$13),0)))</f>
        <v>0.0006944444444443934</v>
      </c>
      <c r="AC12" s="72"/>
      <c r="AD12" s="62">
        <v>0.5770833333333333</v>
      </c>
      <c r="AE12" s="73">
        <v>0.5803472222222222</v>
      </c>
      <c r="AF12" s="65">
        <f t="shared" si="1"/>
        <v>0.003263888888888955</v>
      </c>
      <c r="AG12" s="74">
        <f>IF(AF12="",0,IF(('[1]М лист'!$D$14-'[1]М лист'!$C$33-AF12)&gt;'[1]М лист'!C$36,'[1]М лист'!$C$36,IF(AF12&gt;('[1]М лист'!D$14+'[1]М лист'!$C$33),AF12-'[1]М лист'!D$14-'[1]М лист'!$C$33,IF(AF12&lt;('[1]М лист'!$D$14-'[1]М лист'!$C$33),'[1]М лист'!$D$14-'[1]М лист'!$C$33-AF12,0))))</f>
        <v>3.472222222228859E-05</v>
      </c>
      <c r="AH12" s="74">
        <f>IF(AE12="",0,IF(AG12&gt;'[1]М лист'!$C$36,'[1]М лист'!$C$36,AG12))</f>
        <v>3.472222222228859E-05</v>
      </c>
      <c r="AI12" s="61"/>
      <c r="AJ12" s="62">
        <v>0.5840277777777778</v>
      </c>
      <c r="AK12" s="73">
        <v>0.5860069444444445</v>
      </c>
      <c r="AL12" s="65">
        <f t="shared" si="2"/>
        <v>0.001979166666666643</v>
      </c>
      <c r="AM12" s="74">
        <f>IF(AL12="",0,IF(AL12&gt;('[1]М лист'!$D$15+'[1]М лист'!$C$33),AL12-'[1]М лист'!$D$15-'[1]М лист'!$C$33,IF(AL12&lt;('[1]М лист'!$D$15-'[1]М лист'!$C$33),'[1]М лист'!$D$15-'[1]М лист'!$C$33-AL12,0)))</f>
        <v>0.0006250000000000235</v>
      </c>
      <c r="AN12" s="74">
        <f>IF(AK12="","",IF(AM12&gt;'[1]М лист'!$C$36,'[1]М лист'!$C$36,AM12))</f>
        <v>0.0006250000000000235</v>
      </c>
      <c r="AO12" s="61"/>
      <c r="AP12" s="75"/>
      <c r="AQ12" s="64">
        <v>0.611111111111111</v>
      </c>
      <c r="AR12" s="59">
        <f>IF(AQ12="",0,IF(AQ12="",0,IF(AQ12=0,'[1]М лист'!$C$32,IF(AD12=0,0,IF((AQ12-AD12-'[1]М лист'!$D$16)&gt;0,AQ12-AD12-'[1]М лист'!$D$16,0)))))</f>
        <v>0</v>
      </c>
      <c r="AS12" s="60">
        <f>IF(AQ12="",0,IF(AD12=0,0,IF((AQ12-AD12-'[1]М лист'!$D$16)&gt;0,ABS(AQ12-AD12-'[1]М лист'!$D$16),0)))</f>
        <v>0</v>
      </c>
      <c r="AT12" s="72"/>
      <c r="AU12" s="76">
        <f t="shared" si="3"/>
        <v>0.002777777777777761</v>
      </c>
      <c r="AV12" s="77">
        <f t="shared" si="4"/>
        <v>0.003930555555555629</v>
      </c>
      <c r="AW12" s="62">
        <v>0.6743055555555556</v>
      </c>
      <c r="AX12" s="62">
        <v>0.6743055555555556</v>
      </c>
      <c r="AY12" s="78">
        <f>IF(AX12="","",IF(AX12="",0,IF(AX12=0,'[1]М лист'!$C$32,ABS(AX12-AW12))))</f>
        <v>0</v>
      </c>
      <c r="AZ12" s="60">
        <f t="shared" si="5"/>
        <v>0</v>
      </c>
      <c r="BA12" s="61"/>
      <c r="BB12" s="79">
        <v>0.0007523148148148147</v>
      </c>
      <c r="BC12" s="61"/>
      <c r="BD12" s="80"/>
      <c r="BE12" s="63">
        <v>0.0010231481481481482</v>
      </c>
      <c r="BF12" s="61"/>
      <c r="BG12" s="71">
        <v>0.7305555555555556</v>
      </c>
      <c r="BH12" s="78"/>
      <c r="BI12" s="60"/>
      <c r="BJ12" s="72"/>
      <c r="BK12" s="81">
        <f t="shared" si="6"/>
        <v>0</v>
      </c>
      <c r="BL12" s="82">
        <f t="shared" si="7"/>
        <v>0.001775462962962963</v>
      </c>
      <c r="BM12" s="82">
        <f t="shared" si="8"/>
        <v>0.005706018518518592</v>
      </c>
      <c r="BN12" s="87">
        <f t="shared" si="9"/>
        <v>0.004468749999999895</v>
      </c>
      <c r="BO12" s="88">
        <f t="shared" si="10"/>
        <v>2.5462962963064724E-05</v>
      </c>
      <c r="BP12" s="89">
        <v>8</v>
      </c>
      <c r="BQ12" s="86">
        <v>7</v>
      </c>
    </row>
    <row r="13" spans="1:69" ht="17.25" customHeight="1">
      <c r="A13" s="90">
        <v>3</v>
      </c>
      <c r="B13" s="55" t="s">
        <v>143</v>
      </c>
      <c r="C13" s="56" t="s">
        <v>4</v>
      </c>
      <c r="D13" s="56" t="s">
        <v>2</v>
      </c>
      <c r="E13" s="56" t="s">
        <v>5</v>
      </c>
      <c r="F13" s="57">
        <v>5600</v>
      </c>
      <c r="G13" s="57">
        <v>1955</v>
      </c>
      <c r="H13" s="58" t="s">
        <v>144</v>
      </c>
      <c r="I13" s="58" t="s">
        <v>144</v>
      </c>
      <c r="J13" s="59">
        <f>IF(I13="","",IF(I13=0,'[1]М лист'!$C$32,ABS(I13-H13)))</f>
        <v>0</v>
      </c>
      <c r="K13" s="60">
        <f t="shared" si="0"/>
        <v>0</v>
      </c>
      <c r="L13" s="61"/>
      <c r="M13" s="62">
        <v>0.53125</v>
      </c>
      <c r="N13" s="59">
        <f>IF(M13="","",IF(M13=0,'[1]М лист'!$C$32,IF(I13=0,0,ABS(M13-I13-'[1]М лист'!$D$10))))</f>
        <v>1.0408340855860843E-17</v>
      </c>
      <c r="O13" s="60">
        <f>IF(M13="","",IF((M13-I13-'[1]М лист'!$D$10)&gt;0,ABS(M13-I13-'[1]М лист'!$D$10),0))</f>
        <v>1.0408340855860843E-17</v>
      </c>
      <c r="P13" s="61"/>
      <c r="Q13" s="63">
        <v>0.000275462962962963</v>
      </c>
      <c r="R13" s="61"/>
      <c r="S13" s="64">
        <v>0.5479166666666667</v>
      </c>
      <c r="T13" s="65">
        <f>IF(S13="",0,IF(S13=0,'[1]М лист'!$C$32,IF(M13=0,0,S13-M13)))</f>
        <v>0.01666666666666672</v>
      </c>
      <c r="U13" s="66">
        <f>IF(S13="",0,IF(S13=0,'[1]М лист'!$C$32,IF(T13="",0,IF(T13&lt;('[1]М лист'!$C$37-'[1]М лист'!$C$38),'[1]М лист'!$C$37-'[1]М лист'!$C$38-T13,0))))</f>
        <v>0</v>
      </c>
      <c r="V13" s="67">
        <v>0.5534722222222223</v>
      </c>
      <c r="W13" s="68">
        <f>IF(V13="",0,IF(V13="",0,IF(V13=0,'[1]М лист'!$C$32,IF(M13=0,0,ABS(V13-M13-'[1]М лист'!$D$12)))))</f>
        <v>0.0006944444444444732</v>
      </c>
      <c r="X13" s="69">
        <f>IF(V13="",0,IF(M13=0,0,IF((V13-M13-'[1]М лист'!$D$12)&gt;0,ABS(V13-M13-'[1]М лист'!$D$12),0)))</f>
        <v>0.0006944444444444732</v>
      </c>
      <c r="Y13" s="70"/>
      <c r="Z13" s="71">
        <v>0.5673611111111111</v>
      </c>
      <c r="AA13" s="59">
        <f>IF(Z13="",0,IF(Z13="",0,IF(Z13=0,'[1]М лист'!$C$32,IF(V13=0,0,ABS(Z13-V13-'[1]М лист'!$D$13)))))</f>
        <v>4.85722573273506E-17</v>
      </c>
      <c r="AB13" s="60">
        <f>IF(Z13="",0,IF(V13=0,0,IF((Z13-V13-'[1]М лист'!$D$13)&gt;0,ABS(Z13-V13-'[1]М лист'!$D$13),0)))</f>
        <v>0</v>
      </c>
      <c r="AC13" s="72"/>
      <c r="AD13" s="62">
        <v>0.5694444444444444</v>
      </c>
      <c r="AE13" s="73">
        <v>0.5751388888888889</v>
      </c>
      <c r="AF13" s="65">
        <f t="shared" si="1"/>
        <v>0.005694444444444446</v>
      </c>
      <c r="AG13" s="74">
        <f>IF(AF13="",0,IF(('[1]М лист'!$D$14-'[1]М лист'!$C$33-AF13)&gt;'[1]М лист'!C$36,'[1]М лист'!$C$36,IF(AF13&gt;('[1]М лист'!D$14+'[1]М лист'!$C$33),AF13-'[1]М лист'!D$14-'[1]М лист'!$C$33,IF(AF13&lt;('[1]М лист'!$D$14-'[1]М лист'!$C$33),'[1]М лист'!$D$14-'[1]М лист'!$C$33-AF13,0))))</f>
        <v>0.00246527777777778</v>
      </c>
      <c r="AH13" s="74">
        <f>IF(AE13="",0,IF(AG13&gt;'[1]М лист'!$C$36,'[1]М лист'!$C$36,AG13))</f>
        <v>0.00246527777777778</v>
      </c>
      <c r="AI13" s="61"/>
      <c r="AJ13" s="62">
        <v>0.5784722222222222</v>
      </c>
      <c r="AK13" s="73">
        <v>0.5811342592592593</v>
      </c>
      <c r="AL13" s="65">
        <f t="shared" si="2"/>
        <v>0.002662037037037157</v>
      </c>
      <c r="AM13" s="74">
        <f>IF(AL13="",0,IF(AL13&gt;('[1]М лист'!$D$15+'[1]М лист'!$C$33),AL13-'[1]М лист'!$D$15-'[1]М лист'!$C$33,IF(AL13&lt;('[1]М лист'!$D$15-'[1]М лист'!$C$33),'[1]М лист'!$D$15-'[1]М лист'!$C$33-AL13,0)))</f>
        <v>0</v>
      </c>
      <c r="AN13" s="74">
        <f>IF(AK13="","",IF(AM13&gt;'[1]М лист'!$C$36,'[1]М лист'!$C$36,AM13))</f>
        <v>0</v>
      </c>
      <c r="AO13" s="61"/>
      <c r="AP13" s="75"/>
      <c r="AQ13" s="64">
        <v>0.6027777777777777</v>
      </c>
      <c r="AR13" s="59">
        <f>IF(AQ13="",0,IF(AQ13="",0,IF(AQ13=0,'[1]М лист'!$C$32,IF(AD13=0,0,IF((AQ13-AD13-'[1]М лист'!$D$16)&gt;0,AQ13-AD13-'[1]М лист'!$D$16,0)))))</f>
        <v>0</v>
      </c>
      <c r="AS13" s="60">
        <f>IF(AQ13="",0,IF(AD13=0,0,IF((AQ13-AD13-'[1]М лист'!$D$16)&gt;0,ABS(AQ13-AD13-'[1]М лист'!$D$16),0)))</f>
        <v>0</v>
      </c>
      <c r="AT13" s="72"/>
      <c r="AU13" s="76">
        <f t="shared" si="3"/>
        <v>0.0006944444444444836</v>
      </c>
      <c r="AV13" s="77">
        <f t="shared" si="4"/>
        <v>0.0034351851851852754</v>
      </c>
      <c r="AW13" s="62">
        <v>0.66875</v>
      </c>
      <c r="AX13" s="62">
        <v>0.66875</v>
      </c>
      <c r="AY13" s="78">
        <f>IF(AX13="","",IF(AX13="",0,IF(AX13=0,'[1]М лист'!$C$32,ABS(AX13-AW13))))</f>
        <v>0</v>
      </c>
      <c r="AZ13" s="60">
        <f t="shared" si="5"/>
        <v>0</v>
      </c>
      <c r="BA13" s="61"/>
      <c r="BB13" s="79">
        <v>0.0007523148148148147</v>
      </c>
      <c r="BC13" s="61"/>
      <c r="BD13" s="80"/>
      <c r="BE13" s="63">
        <v>0.0017847222222222225</v>
      </c>
      <c r="BF13" s="61"/>
      <c r="BG13" s="71">
        <v>0.7159722222222222</v>
      </c>
      <c r="BH13" s="78">
        <f>IF(BG13="","",IF(BG13="",0,IF(BG13=0,'[1]М лист'!$C$32,IF(AX13=0,0,IF((BG13-AX13-'[1]М лист'!$D$23)&gt;0,BG13-AX13-'[1]М лист'!$D$23,0)))))</f>
        <v>0</v>
      </c>
      <c r="BI13" s="60">
        <f>IF(BG13="","",IF(AX13=0,0,IF((BG13-AX13-'[1]М лист'!$D$23)&gt;0,ABS(BG13-AX13-'[1]М лист'!$D$23),0)))</f>
        <v>0</v>
      </c>
      <c r="BJ13" s="72"/>
      <c r="BK13" s="81">
        <f t="shared" si="6"/>
        <v>0</v>
      </c>
      <c r="BL13" s="82">
        <f t="shared" si="7"/>
        <v>0.0025370370370370373</v>
      </c>
      <c r="BM13" s="82">
        <f t="shared" si="8"/>
        <v>0.005972222222222313</v>
      </c>
      <c r="BN13" s="87">
        <f t="shared" si="9"/>
        <v>0.004734953703703616</v>
      </c>
      <c r="BO13" s="88">
        <f t="shared" si="10"/>
        <v>0.00026620370370372074</v>
      </c>
      <c r="BP13" s="85">
        <v>9</v>
      </c>
      <c r="BQ13" s="90">
        <v>3</v>
      </c>
    </row>
    <row r="14" spans="1:69" ht="17.25" customHeight="1">
      <c r="A14" s="90">
        <v>24</v>
      </c>
      <c r="B14" s="55" t="s">
        <v>56</v>
      </c>
      <c r="C14" s="56" t="s">
        <v>57</v>
      </c>
      <c r="D14" s="56" t="s">
        <v>2</v>
      </c>
      <c r="E14" s="56" t="s">
        <v>58</v>
      </c>
      <c r="F14" s="57">
        <v>5300</v>
      </c>
      <c r="G14" s="57">
        <v>1952</v>
      </c>
      <c r="H14" s="58" t="s">
        <v>145</v>
      </c>
      <c r="I14" s="58" t="s">
        <v>145</v>
      </c>
      <c r="J14" s="59">
        <f>IF(I14="","",IF(I14=0,'[1]М лист'!$C$32,ABS(I14-H14)))</f>
        <v>0</v>
      </c>
      <c r="K14" s="60">
        <f t="shared" si="0"/>
        <v>0</v>
      </c>
      <c r="L14" s="61"/>
      <c r="M14" s="62">
        <v>0.5604166666666667</v>
      </c>
      <c r="N14" s="59">
        <f>IF(M14="","",IF(M14=0,'[1]М лист'!$C$32,IF(I14=0,0,ABS(M14-I14-'[1]М лист'!$D$10))))</f>
        <v>1.0408340855860843E-17</v>
      </c>
      <c r="O14" s="60">
        <f>IF(M14="","",IF((M14-I14-'[1]М лист'!$D$10)&gt;0,ABS(M14-I14-'[1]М лист'!$D$10),0))</f>
        <v>1.0408340855860843E-17</v>
      </c>
      <c r="P14" s="61"/>
      <c r="Q14" s="63">
        <v>0.0003391203703703703</v>
      </c>
      <c r="R14" s="61"/>
      <c r="S14" s="64">
        <v>0.5805555555555556</v>
      </c>
      <c r="T14" s="65">
        <f>IF(S14="",0,IF(S14=0,'[1]М лист'!$C$32,IF(M14=0,0,S14-M14)))</f>
        <v>0.02013888888888893</v>
      </c>
      <c r="U14" s="66">
        <f>IF(S14="",0,IF(S14=0,'[1]М лист'!$C$32,IF(T14="",0,IF(T14&lt;('[1]М лист'!$C$37-'[1]М лист'!$C$38),'[1]М лист'!$C$37-'[1]М лист'!$C$38-T14,0))))</f>
        <v>0</v>
      </c>
      <c r="V14" s="67">
        <v>0.5847222222222223</v>
      </c>
      <c r="W14" s="68">
        <f>IF(V14="",0,IF(V14="",0,IF(V14=0,'[1]М лист'!$C$32,IF(M14=0,0,ABS(V14-M14-'[1]М лист'!$D$12)))))</f>
        <v>0.002777777777777799</v>
      </c>
      <c r="X14" s="69">
        <f>IF(V14="",0,IF(M14=0,0,IF((V14-M14-'[1]М лист'!$D$12)&gt;0,ABS(V14-M14-'[1]М лист'!$D$12),0)))</f>
        <v>0.002777777777777799</v>
      </c>
      <c r="Y14" s="70"/>
      <c r="Z14" s="71">
        <v>0.6</v>
      </c>
      <c r="AA14" s="59">
        <f>IF(Z14="",0,IF(Z14="",0,IF(Z14=0,'[1]М лист'!$C$32,IF(V14=0,0,ABS(Z14-V14-'[1]М лист'!$D$13)))))</f>
        <v>0.0013888888888888354</v>
      </c>
      <c r="AB14" s="60">
        <f>IF(Z14="",0,IF(V14=0,0,IF((Z14-V14-'[1]М лист'!$D$13)&gt;0,ABS(Z14-V14-'[1]М лист'!$D$13),0)))</f>
        <v>0.0013888888888888354</v>
      </c>
      <c r="AC14" s="72"/>
      <c r="AD14" s="62">
        <v>0.6083333333333333</v>
      </c>
      <c r="AE14" s="73">
        <v>0.6109490740740741</v>
      </c>
      <c r="AF14" s="65">
        <f t="shared" si="1"/>
        <v>0.0026157407407407796</v>
      </c>
      <c r="AG14" s="74">
        <f>IF(AF14="","",IF(('[1]М лист'!$D$14-'[1]М лист'!$C$33-AF14)&gt;'[1]М лист'!C$36,'[1]М лист'!$C$36,IF(AF14&gt;('[1]М лист'!D$14+'[1]М лист'!$C$33),AF14-'[1]М лист'!D$14-'[1]М лист'!$C$33,IF(AF14&lt;('[1]М лист'!$D$14-'[1]М лист'!$C$33),'[1]М лист'!$D$14-'[1]М лист'!$C$33-AF14,0))))</f>
        <v>0.0005439814814814426</v>
      </c>
      <c r="AH14" s="74">
        <f>IF(AE14="","",IF(AG14&gt;'[1]М лист'!$C$36,'[1]М лист'!$C$36,AG14))</f>
        <v>0.0005439814814814426</v>
      </c>
      <c r="AI14" s="61"/>
      <c r="AJ14" s="62">
        <v>0.61875</v>
      </c>
      <c r="AK14" s="73">
        <v>0.6215393518518518</v>
      </c>
      <c r="AL14" s="65">
        <f t="shared" si="2"/>
        <v>0.002789351851851807</v>
      </c>
      <c r="AM14" s="74">
        <f>IF(AL14="","",IF(AL14&gt;('[1]М лист'!$D$15+'[1]М лист'!$C$33),AL14-'[1]М лист'!$D$15-'[1]М лист'!$C$33,IF(AL14&lt;('[1]М лист'!$D$15-'[1]М лист'!$C$33),'[1]М лист'!$D$15-'[1]М лист'!$C$33-AL14,0)))</f>
        <v>0.00011574074074069602</v>
      </c>
      <c r="AN14" s="74">
        <f>IF(AK14="","",IF(AM14&gt;'[1]М лист'!$C$36,'[1]М лист'!$C$36,AM14))</f>
        <v>0.00011574074074069602</v>
      </c>
      <c r="AO14" s="61"/>
      <c r="AP14" s="75"/>
      <c r="AQ14" s="64">
        <v>0.64375</v>
      </c>
      <c r="AR14" s="59">
        <v>0</v>
      </c>
      <c r="AS14" s="60">
        <v>0</v>
      </c>
      <c r="AT14" s="72"/>
      <c r="AU14" s="76">
        <f t="shared" si="3"/>
        <v>0.004166666666666645</v>
      </c>
      <c r="AV14" s="77">
        <f t="shared" si="4"/>
        <v>0.005165509259259153</v>
      </c>
      <c r="AW14" s="62">
        <v>0.6965277777777777</v>
      </c>
      <c r="AX14" s="58">
        <v>0.6965277777777777</v>
      </c>
      <c r="AY14" s="78">
        <f>IF(AX14="","",IF(AX14="",0,IF(AX14=0,'[1]М лист'!$C$32,ABS(AX14-AW14))))</f>
        <v>0</v>
      </c>
      <c r="AZ14" s="60">
        <f t="shared" si="5"/>
        <v>0</v>
      </c>
      <c r="BA14" s="61"/>
      <c r="BB14" s="79">
        <v>0.0009259259259259259</v>
      </c>
      <c r="BC14" s="61"/>
      <c r="BD14" s="80"/>
      <c r="BE14" s="63">
        <v>0.0006226851851851852</v>
      </c>
      <c r="BF14" s="61"/>
      <c r="BG14" s="71">
        <v>0.751388888888889</v>
      </c>
      <c r="BH14" s="78">
        <f>IF(BG14="","",IF(BG14="",0,IF(BG14=0,'[1]М лист'!$C$32,IF(AX14=0,0,IF((BG14-AX14-'[1]М лист'!$D$23)&gt;0,BG14-AX14-'[1]М лист'!$D$23,0)))))</f>
        <v>0</v>
      </c>
      <c r="BI14" s="60">
        <f>IF(BG14="","",IF(AX14=0,0,IF((BG14-AX14-'[1]М лист'!$D$23)&gt;0,ABS(BG14-AX14-'[1]М лист'!$D$23),0)))</f>
        <v>0</v>
      </c>
      <c r="BJ14" s="72"/>
      <c r="BK14" s="81">
        <f t="shared" si="6"/>
        <v>0</v>
      </c>
      <c r="BL14" s="82">
        <f t="shared" si="7"/>
        <v>0.001548611111111111</v>
      </c>
      <c r="BM14" s="82">
        <f t="shared" si="8"/>
        <v>0.006714120370370264</v>
      </c>
      <c r="BN14" s="87">
        <f t="shared" si="9"/>
        <v>0.005476851851851566</v>
      </c>
      <c r="BO14" s="88">
        <f t="shared" si="10"/>
        <v>0.0007418981481479509</v>
      </c>
      <c r="BP14" s="89">
        <v>10</v>
      </c>
      <c r="BQ14" s="90">
        <v>24</v>
      </c>
    </row>
    <row r="15" spans="1:69" ht="17.25" customHeight="1">
      <c r="A15" s="86">
        <v>12</v>
      </c>
      <c r="B15" s="55" t="s">
        <v>34</v>
      </c>
      <c r="C15" s="56" t="s">
        <v>35</v>
      </c>
      <c r="D15" s="56" t="s">
        <v>2</v>
      </c>
      <c r="E15" s="56" t="s">
        <v>36</v>
      </c>
      <c r="F15" s="57">
        <v>800</v>
      </c>
      <c r="G15" s="57">
        <v>1969</v>
      </c>
      <c r="H15" s="58" t="s">
        <v>146</v>
      </c>
      <c r="I15" s="58" t="s">
        <v>146</v>
      </c>
      <c r="J15" s="59">
        <f>IF(I15="","",IF(I15=0,'[1]М лист'!$C$32,ABS(I15-H15)))</f>
        <v>0</v>
      </c>
      <c r="K15" s="60">
        <f t="shared" si="0"/>
        <v>0</v>
      </c>
      <c r="L15" s="61"/>
      <c r="M15" s="62">
        <v>0.5423611111111112</v>
      </c>
      <c r="N15" s="59">
        <f>IF(M15="","",IF(M15=0,'[1]М лист'!$C$32,IF(I15=0,0,ABS(M15-I15-'[1]М лист'!$D$10))))</f>
        <v>0.0013888888888887625</v>
      </c>
      <c r="O15" s="60">
        <f>IF(M15="","",IF((M15-I15-'[1]М лист'!$D$10)&gt;0,ABS(M15-I15-'[1]М лист'!$D$10),0))</f>
        <v>0</v>
      </c>
      <c r="P15" s="61"/>
      <c r="Q15" s="63">
        <v>0.00024074074074074077</v>
      </c>
      <c r="R15" s="61"/>
      <c r="S15" s="64">
        <v>0.5631944444444444</v>
      </c>
      <c r="T15" s="65">
        <f>IF(S15="",0,IF(S15=0,'[1]М лист'!$C$32,IF(M15=0,0,S15-M15)))</f>
        <v>0.02083333333333326</v>
      </c>
      <c r="U15" s="66">
        <f>IF(S15="",0,IF(S15=0,'[1]М лист'!$C$32,IF(T15="",0,IF(T15&lt;('[1]М лист'!$C$37-'[1]М лист'!$C$38),'[1]М лист'!$C$37-'[1]М лист'!$C$38-T15,0))))</f>
        <v>0</v>
      </c>
      <c r="V15" s="67">
        <v>0.5673611111111111</v>
      </c>
      <c r="W15" s="68">
        <v>0.002777777777777778</v>
      </c>
      <c r="X15" s="68">
        <v>0.002777777777777778</v>
      </c>
      <c r="Y15" s="70"/>
      <c r="Z15" s="71">
        <v>0.5833333333333334</v>
      </c>
      <c r="AA15" s="59">
        <f>IF(Z15="",0,IF(Z15="",0,IF(Z15=0,'[1]М лист'!$C$32,IF(V15=0,0,ABS(Z15-V15-'[1]М лист'!$D$13)))))</f>
        <v>0.0020833333333333884</v>
      </c>
      <c r="AB15" s="60">
        <f>IF(Z15="",0,IF(V15=0,0,IF((Z15-V15-'[1]М лист'!$D$13)&gt;0,ABS(Z15-V15-'[1]М лист'!$D$13),0)))</f>
        <v>0.0020833333333333884</v>
      </c>
      <c r="AC15" s="72"/>
      <c r="AD15" s="62">
        <v>0.5854166666666667</v>
      </c>
      <c r="AE15" s="73">
        <v>0.5886805555555555</v>
      </c>
      <c r="AF15" s="65">
        <f t="shared" si="1"/>
        <v>0.003263888888888844</v>
      </c>
      <c r="AG15" s="74">
        <f>IF(AF15="","",IF(('[1]М лист'!$D$14-'[1]М лист'!$C$33-AF15)&gt;'[1]М лист'!C$36,'[1]М лист'!$C$36,IF(AF15&gt;('[1]М лист'!D$14+'[1]М лист'!$C$33),AF15-'[1]М лист'!D$14-'[1]М лист'!$C$33,IF(AF15&lt;('[1]М лист'!$D$14-'[1]М лист'!$C$33),'[1]М лист'!$D$14-'[1]М лист'!$C$33-AF15,0))))</f>
        <v>3.472222222217757E-05</v>
      </c>
      <c r="AH15" s="74">
        <f>IF(AE15="","",IF(AG15&gt;'[1]М лист'!$C$36,'[1]М лист'!$C$36,AG15))</f>
        <v>3.472222222217757E-05</v>
      </c>
      <c r="AI15" s="61"/>
      <c r="AJ15" s="62">
        <v>0.5916666666666667</v>
      </c>
      <c r="AK15" s="73">
        <v>0.5943287037037037</v>
      </c>
      <c r="AL15" s="65">
        <f t="shared" si="2"/>
        <v>0.002662037037037046</v>
      </c>
      <c r="AM15" s="74">
        <f>IF(AL15="","",IF(AL15&gt;('[1]М лист'!$D$15+'[1]М лист'!$C$33),AL15-'[1]М лист'!$D$15-'[1]М лист'!$C$33,IF(AL15&lt;('[1]М лист'!$D$15-'[1]М лист'!$C$33),'[1]М лист'!$D$15-'[1]М лист'!$C$33-AL15,0)))</f>
        <v>0</v>
      </c>
      <c r="AN15" s="74">
        <f>IF(AK15="","",IF(AM15&gt;'[1]М лист'!$C$36,'[1]М лист'!$C$36,AM15))</f>
        <v>0</v>
      </c>
      <c r="AO15" s="61"/>
      <c r="AP15" s="75"/>
      <c r="AQ15" s="64">
        <v>0.6173611111111111</v>
      </c>
      <c r="AR15" s="59">
        <f>IF(AQ15="",0,IF(AQ15="",0,IF(AQ15=0,'[1]М лист'!$C$32,IF(AD15=0,0,IF((AQ15-AD15-'[1]М лист'!$D$16)&gt;0,AQ15-AD15-'[1]М лист'!$D$16,0)))))</f>
        <v>0</v>
      </c>
      <c r="AS15" s="60">
        <f>IF(AQ15="",0,IF(AD15=0,0,IF((AQ15-AD15-'[1]М лист'!$D$16)&gt;0,ABS(AQ15-AD15-'[1]М лист'!$D$16),0)))</f>
        <v>0</v>
      </c>
      <c r="AT15" s="72">
        <v>3.472222222222222E-05</v>
      </c>
      <c r="AU15" s="76">
        <f t="shared" si="3"/>
        <v>0.004861111111111167</v>
      </c>
      <c r="AV15" s="77">
        <f t="shared" si="4"/>
        <v>0.006560185185185069</v>
      </c>
      <c r="AW15" s="62">
        <v>0.68125</v>
      </c>
      <c r="AX15" s="62">
        <v>0.68125</v>
      </c>
      <c r="AY15" s="78">
        <f>IF(AX15="","",IF(AX15="",0,IF(AX15=0,'[1]М лист'!$C$32,ABS(AX15-AW15))))</f>
        <v>0</v>
      </c>
      <c r="AZ15" s="60">
        <f t="shared" si="5"/>
        <v>0</v>
      </c>
      <c r="BA15" s="61"/>
      <c r="BB15" s="79">
        <v>0.0008101851851851852</v>
      </c>
      <c r="BC15" s="61"/>
      <c r="BD15" s="80"/>
      <c r="BE15" s="63">
        <v>0.0007650462962962962</v>
      </c>
      <c r="BF15" s="61"/>
      <c r="BG15" s="71">
        <v>0.7347222222222222</v>
      </c>
      <c r="BH15" s="78">
        <f>IF(BG15="","",IF(BG15="",0,IF(BG15=0,'[1]М лист'!$C$32,IF(AX15=0,0,IF((BG15-AX15-'[1]М лист'!$D$23)&gt;0,BG15-AX15-'[1]М лист'!$D$23,0)))))</f>
        <v>0</v>
      </c>
      <c r="BI15" s="60">
        <f>IF(BG15="","",IF(AX15=0,0,IF((BG15-AX15-'[1]М лист'!$D$23)&gt;0,ABS(BG15-AX15-'[1]М лист'!$D$23),0)))</f>
        <v>0</v>
      </c>
      <c r="BJ15" s="72"/>
      <c r="BK15" s="81">
        <f t="shared" si="6"/>
        <v>0</v>
      </c>
      <c r="BL15" s="82">
        <f t="shared" si="7"/>
        <v>0.0015752314814814813</v>
      </c>
      <c r="BM15" s="82">
        <f t="shared" si="8"/>
        <v>0.008135416666666551</v>
      </c>
      <c r="BN15" s="87">
        <f t="shared" si="9"/>
        <v>0.006898148148147855</v>
      </c>
      <c r="BO15" s="88">
        <f t="shared" si="10"/>
        <v>0.0014212962962962877</v>
      </c>
      <c r="BP15" s="85">
        <v>11</v>
      </c>
      <c r="BQ15" s="86">
        <v>12</v>
      </c>
    </row>
    <row r="16" spans="1:69" ht="17.25" customHeight="1">
      <c r="A16" s="90">
        <v>22</v>
      </c>
      <c r="B16" s="55" t="s">
        <v>46</v>
      </c>
      <c r="C16" s="56" t="s">
        <v>47</v>
      </c>
      <c r="D16" s="56" t="s">
        <v>48</v>
      </c>
      <c r="E16" s="56" t="s">
        <v>49</v>
      </c>
      <c r="F16" s="57">
        <v>2400</v>
      </c>
      <c r="G16" s="57">
        <v>1961</v>
      </c>
      <c r="H16" s="58" t="s">
        <v>147</v>
      </c>
      <c r="I16" s="58" t="s">
        <v>147</v>
      </c>
      <c r="J16" s="59">
        <f>IF(I16="","",IF(I16=0,'[1]М лист'!$C$32,ABS(I16-H16)))</f>
        <v>0</v>
      </c>
      <c r="K16" s="60">
        <f t="shared" si="0"/>
        <v>0</v>
      </c>
      <c r="L16" s="61"/>
      <c r="M16" s="62">
        <v>0.5611111111111111</v>
      </c>
      <c r="N16" s="59">
        <f>IF(M16="","",IF(M16=0,'[1]М лист'!$C$32,IF(I16=0,0,ABS(M16-I16-'[1]М лист'!$D$10))))</f>
        <v>0.0034722222222222203</v>
      </c>
      <c r="O16" s="60">
        <f>IF(M16="","",IF((M16-I16-'[1]М лист'!$D$10)&gt;0,ABS(M16-I16-'[1]М лист'!$D$10),0))</f>
        <v>0.0034722222222222203</v>
      </c>
      <c r="P16" s="61"/>
      <c r="Q16" s="63">
        <v>0.00019560185185185183</v>
      </c>
      <c r="R16" s="61">
        <v>5.7870370370370366E-05</v>
      </c>
      <c r="S16" s="64">
        <v>0.5805555555555556</v>
      </c>
      <c r="T16" s="65">
        <f>IF(S16="",0,IF(S16=0,'[1]М лист'!$C$32,IF(M16=0,0,S16-M16)))</f>
        <v>0.019444444444444486</v>
      </c>
      <c r="U16" s="92">
        <f>IF(S16="",0,IF(S16=0,'[1]М лист'!$C$32,IF(T16="",0,IF(T16&lt;('[1]М лист'!$C$37-'[1]М лист'!$C$38),'[1]М лист'!$C$37-'[1]М лист'!$C$38-T16,0))))</f>
        <v>0</v>
      </c>
      <c r="V16" s="67">
        <v>0.5854166666666667</v>
      </c>
      <c r="W16" s="68">
        <f>IF(V16="",0,IF(V16="",0,IF(V16=0,'[1]М лист'!$C$32,IF(M16=0,0,ABS(V16-M16-'[1]М лист'!$D$12)))))</f>
        <v>0.002777777777777799</v>
      </c>
      <c r="X16" s="69">
        <f>IF(V16="",0,IF(M16=0,0,IF((V16-M16-'[1]М лист'!$D$12)&gt;0,ABS(V16-M16-'[1]М лист'!$D$12),0)))</f>
        <v>0.002777777777777799</v>
      </c>
      <c r="Y16" s="70"/>
      <c r="Z16" s="71">
        <v>0.5986111111111111</v>
      </c>
      <c r="AA16" s="59">
        <f>IF(Z16="",0,IF(Z16="",0,IF(Z16=0,'[1]М лист'!$C$32,IF(V16=0,0,ABS(Z16-V16-'[1]М лист'!$D$13)))))</f>
        <v>0.0006944444444444905</v>
      </c>
      <c r="AB16" s="60">
        <f>IF(Z16="",0,IF(V16=0,0,IF((Z16-V16-'[1]М лист'!$D$13)&gt;0,ABS(Z16-V16-'[1]М лист'!$D$13),0)))</f>
        <v>0</v>
      </c>
      <c r="AC16" s="72"/>
      <c r="AD16" s="62">
        <v>0.6055555555555555</v>
      </c>
      <c r="AE16" s="73">
        <v>0.6087152777777778</v>
      </c>
      <c r="AF16" s="65">
        <f t="shared" si="1"/>
        <v>0.003159722222222272</v>
      </c>
      <c r="AG16" s="74">
        <f>IF(AF16="","",IF(('[1]М лист'!$D$14-'[1]М лист'!$C$33-AF16)&gt;'[1]М лист'!C$36,'[1]М лист'!$C$36,IF(AF16&gt;('[1]М лист'!D$14+'[1]М лист'!$C$33),AF16-'[1]М лист'!D$14-'[1]М лист'!$C$33,IF(AF16&lt;('[1]М лист'!$D$14-'[1]М лист'!$C$33),'[1]М лист'!$D$14-'[1]М лист'!$C$33-AF16,0))))</f>
        <v>0</v>
      </c>
      <c r="AH16" s="74">
        <f>IF(AE16="","",IF(AG16&gt;'[1]М лист'!$C$36,'[1]М лист'!$C$36,AG16))</f>
        <v>0</v>
      </c>
      <c r="AI16" s="61"/>
      <c r="AJ16" s="62">
        <v>0.6159722222222223</v>
      </c>
      <c r="AK16" s="73">
        <v>0.6185416666666667</v>
      </c>
      <c r="AL16" s="65">
        <f t="shared" si="2"/>
        <v>0.002569444444444402</v>
      </c>
      <c r="AM16" s="74">
        <f>IF(AL16="","",IF(AL16&gt;('[1]М лист'!$D$15+'[1]М лист'!$C$33),AL16-'[1]М лист'!$D$15-'[1]М лист'!$C$33,IF(AL16&lt;('[1]М лист'!$D$15-'[1]М лист'!$C$33),'[1]М лист'!$D$15-'[1]М лист'!$C$33-AL16,0)))</f>
        <v>3.472222222226451E-05</v>
      </c>
      <c r="AN16" s="74">
        <f>IF(AK16="","",IF(AM16&gt;'[1]М лист'!$C$36,'[1]М лист'!$C$36,AM16))</f>
        <v>3.472222222226451E-05</v>
      </c>
      <c r="AO16" s="61"/>
      <c r="AP16" s="93"/>
      <c r="AQ16" s="64">
        <v>0.6381944444444444</v>
      </c>
      <c r="AR16" s="94">
        <f>IF(AQ16="",0,IF(AQ16="",0,IF(AQ16=0,'[1]М лист'!$C$32,IF(AD16=0,0,IF((AQ16-AD16-'[1]М лист'!$D$16)&gt;0,AQ16-AD16-'[1]М лист'!$D$16,0)))))</f>
        <v>0</v>
      </c>
      <c r="AS16" s="60">
        <f>IF(AQ16="",0,IF(AD16=0,0,IF((AQ16-AD16-'[1]М лист'!$D$16)&gt;0,ABS(AQ16-AD16-'[1]М лист'!$D$16),0)))</f>
        <v>0</v>
      </c>
      <c r="AT16" s="72"/>
      <c r="AU16" s="76">
        <f t="shared" si="3"/>
        <v>0.006250000000000019</v>
      </c>
      <c r="AV16" s="77">
        <f>J16+L16+N16+P16+Q17+R16+U16+W16+Y16+AA16+AC16+AH16+AI16+AN16+AO16+AP16+AR16+AT16</f>
        <v>0.0072685185185186255</v>
      </c>
      <c r="AW16" s="62">
        <v>0.69375</v>
      </c>
      <c r="AX16" s="58">
        <v>0.69375</v>
      </c>
      <c r="AY16" s="78">
        <f>IF(AX16="","",IF(AX16="",0,IF(AX16=0,'[1]М лист'!$C$32,ABS(AX16-AW16))))</f>
        <v>0</v>
      </c>
      <c r="AZ16" s="60">
        <f t="shared" si="5"/>
        <v>0</v>
      </c>
      <c r="BA16" s="61"/>
      <c r="BB16" s="79">
        <v>0.000636574074074074</v>
      </c>
      <c r="BC16" s="61"/>
      <c r="BD16" s="80"/>
      <c r="BE16" s="63">
        <v>0.000630787037037037</v>
      </c>
      <c r="BF16" s="61"/>
      <c r="BG16" s="71">
        <v>0.7458333333333332</v>
      </c>
      <c r="BH16" s="78">
        <f>IF(BG16="","",IF(BG16="",0,IF(BG16=0,'[1]М лист'!$C$32,IF(AX16=0,0,IF((BG16-AX16-'[1]М лист'!$D$23)&gt;0,BG16-AX16-'[1]М лист'!$D$23,0)))))</f>
        <v>0</v>
      </c>
      <c r="BI16" s="60">
        <f>IF(BG16="","",IF(AX16=0,0,IF((BG16-AX16-'[1]М лист'!$D$23)&gt;0,ABS(BG16-AX16-'[1]М лист'!$D$23),0)))</f>
        <v>0</v>
      </c>
      <c r="BJ16" s="72"/>
      <c r="BK16" s="81">
        <f t="shared" si="6"/>
        <v>0</v>
      </c>
      <c r="BL16" s="82">
        <f t="shared" si="7"/>
        <v>0.001267361111111111</v>
      </c>
      <c r="BM16" s="82">
        <f t="shared" si="8"/>
        <v>0.008535879629629737</v>
      </c>
      <c r="BN16" s="87">
        <f t="shared" si="9"/>
        <v>0.0072986111111110405</v>
      </c>
      <c r="BO16" s="88">
        <f t="shared" si="10"/>
        <v>0.0004004629629631856</v>
      </c>
      <c r="BP16" s="89">
        <v>12</v>
      </c>
      <c r="BQ16" s="90">
        <v>22</v>
      </c>
    </row>
    <row r="17" spans="1:69" ht="17.25" customHeight="1">
      <c r="A17" s="86">
        <v>8</v>
      </c>
      <c r="B17" s="55" t="s">
        <v>28</v>
      </c>
      <c r="C17" s="56" t="s">
        <v>29</v>
      </c>
      <c r="D17" s="56" t="s">
        <v>2</v>
      </c>
      <c r="E17" s="56" t="s">
        <v>30</v>
      </c>
      <c r="F17" s="57">
        <v>1300</v>
      </c>
      <c r="G17" s="57">
        <v>1971</v>
      </c>
      <c r="H17" s="58" t="s">
        <v>148</v>
      </c>
      <c r="I17" s="58" t="s">
        <v>148</v>
      </c>
      <c r="J17" s="59">
        <f>IF(I17="","",IF(I17=0,'[1]М лист'!$C$32,ABS(I17-H17)))</f>
        <v>0</v>
      </c>
      <c r="K17" s="60">
        <f t="shared" si="0"/>
        <v>0</v>
      </c>
      <c r="L17" s="61"/>
      <c r="M17" s="62">
        <v>0.5381944444444444</v>
      </c>
      <c r="N17" s="59">
        <f>IF(M17="","",IF(M17=0,'[1]М лист'!$C$32,IF(I17=0,0,ABS(M17-I17-'[1]М лист'!$D$10))))</f>
        <v>1.0408340855860843E-17</v>
      </c>
      <c r="O17" s="60">
        <f>IF(M17="","",IF((M17-I17-'[1]М лист'!$D$10)&gt;0,ABS(M17-I17-'[1]М лист'!$D$10),0))</f>
        <v>1.0408340855860843E-17</v>
      </c>
      <c r="P17" s="61"/>
      <c r="Q17" s="63">
        <v>0.00023148148148148146</v>
      </c>
      <c r="R17" s="61"/>
      <c r="S17" s="64">
        <v>0.5631944444444444</v>
      </c>
      <c r="T17" s="65">
        <f>IF(S17="",0,IF(S17=0,'[1]М лист'!$C$32,IF(M17=0,0,S17-M17)))</f>
        <v>0.025000000000000022</v>
      </c>
      <c r="U17" s="66">
        <f>IF(S17="",0,IF(S17=0,'[1]М лист'!$C$32,IF(T17="",0,IF(T17&lt;('[1]М лист'!$C$37-'[1]М лист'!$C$38),'[1]М лист'!$C$37-'[1]М лист'!$C$38-T17,0))))</f>
        <v>0</v>
      </c>
      <c r="V17" s="67">
        <v>0.5666666666666667</v>
      </c>
      <c r="W17" s="68">
        <f>IF(V17="",0,IF(V17="",0,IF(V17=0,'[1]М лист'!$C$32,IF(M17=0,0,ABS(V17-M17-'[1]М лист'!$D$12)))))</f>
        <v>0.006944444444444451</v>
      </c>
      <c r="X17" s="69">
        <f>IF(V17="",0,IF(M17=0,0,IF((V17-M17-'[1]М лист'!$D$12)&gt;0,ABS(V17-M17-'[1]М лист'!$D$12),0)))</f>
        <v>0.006944444444444451</v>
      </c>
      <c r="Y17" s="70"/>
      <c r="Z17" s="71">
        <v>0.5805555555555556</v>
      </c>
      <c r="AA17" s="59">
        <f>IF(Z17="",0,IF(Z17="",0,IF(Z17=0,'[1]М лист'!$C$32,IF(V17=0,0,ABS(Z17-V17-'[1]М лист'!$D$13)))))</f>
        <v>6.245004513516506E-17</v>
      </c>
      <c r="AB17" s="60">
        <f>IF(Z17="",0,IF(V17=0,0,IF((Z17-V17-'[1]М лист'!$D$13)&gt;0,ABS(Z17-V17-'[1]М лист'!$D$13),0)))</f>
        <v>6.245004513516506E-17</v>
      </c>
      <c r="AC17" s="72"/>
      <c r="AD17" s="62">
        <v>0.5826388888888888</v>
      </c>
      <c r="AE17" s="73">
        <v>0.5858449074074074</v>
      </c>
      <c r="AF17" s="65">
        <f t="shared" si="1"/>
        <v>0.0032060185185185386</v>
      </c>
      <c r="AG17" s="74">
        <f>IF(AF17="",0,IF(('[1]М лист'!$D$14-'[1]М лист'!$C$33-AF17)&gt;'[1]М лист'!C$36,'[1]М лист'!$C$36,IF(AF17&gt;('[1]М лист'!D$14+'[1]М лист'!$C$33),AF17-'[1]М лист'!D$14-'[1]М лист'!$C$33,IF(AF17&lt;('[1]М лист'!$D$14-'[1]М лист'!$C$33),'[1]М лист'!$D$14-'[1]М лист'!$C$33-AF17,0))))</f>
        <v>0</v>
      </c>
      <c r="AH17" s="74">
        <f>IF(AE17="",0,IF(AG17&gt;'[1]М лист'!$C$36,'[1]М лист'!$C$36,AG17))</f>
        <v>0</v>
      </c>
      <c r="AI17" s="61"/>
      <c r="AJ17" s="62">
        <v>0.5888888888888889</v>
      </c>
      <c r="AK17" s="73">
        <v>0.5908564814814815</v>
      </c>
      <c r="AL17" s="65">
        <f t="shared" si="2"/>
        <v>0.001967592592592604</v>
      </c>
      <c r="AM17" s="74">
        <f>IF(AL17="",0,IF(AL17&gt;('[1]М лист'!$D$15+'[1]М лист'!$C$33),AL17-'[1]М лист'!$D$15-'[1]М лист'!$C$33,IF(AL17&lt;('[1]М лист'!$D$15-'[1]М лист'!$C$33),'[1]М лист'!$D$15-'[1]М лист'!$C$33-AL17,0)))</f>
        <v>0.0006365740740740624</v>
      </c>
      <c r="AN17" s="74">
        <f>IF(AK17="","",IF(AM17&gt;'[1]М лист'!$C$36,'[1]М лист'!$C$36,AM17))</f>
        <v>0.0006365740740740624</v>
      </c>
      <c r="AO17" s="61"/>
      <c r="AP17" s="75"/>
      <c r="AQ17" s="64">
        <v>0.6118055555555556</v>
      </c>
      <c r="AR17" s="59">
        <f>IF(AQ17="",0,IF(AQ17="",0,IF(AQ17=0,'[1]М лист'!$C$32,IF(AD17=0,0,IF((AQ17-AD17-'[1]М лист'!$D$16)&gt;0,AQ17-AD17-'[1]М лист'!$D$16,0)))))</f>
        <v>0</v>
      </c>
      <c r="AS17" s="60">
        <f>IF(AQ17="",0,IF(AD17=0,0,IF((AQ17-AD17-'[1]М лист'!$D$16)&gt;0,ABS(AQ17-AD17-'[1]М лист'!$D$16),0)))</f>
        <v>0</v>
      </c>
      <c r="AT17" s="72"/>
      <c r="AU17" s="76">
        <f t="shared" si="3"/>
        <v>0.006944444444444524</v>
      </c>
      <c r="AV17" s="77">
        <f>J17+L17+N17+P17+Q17+R17+U17+W17+Y17+AA17+AC17+AH17+AI17+AN17+AO17+AP17+AR17+AT17</f>
        <v>0.007812500000000068</v>
      </c>
      <c r="AW17" s="62">
        <v>0.6756944444444444</v>
      </c>
      <c r="AX17" s="62">
        <v>0.6756944444444444</v>
      </c>
      <c r="AY17" s="78">
        <f>IF(AX17="","",IF(AX17="",0,IF(AX17=0,'[1]М лист'!$C$32,ABS(AX17-AW17))))</f>
        <v>0</v>
      </c>
      <c r="AZ17" s="60">
        <f t="shared" si="5"/>
        <v>0</v>
      </c>
      <c r="BA17" s="61"/>
      <c r="BB17" s="79">
        <v>0.0006944444444444445</v>
      </c>
      <c r="BC17" s="61"/>
      <c r="BD17" s="80"/>
      <c r="BE17" s="63">
        <v>0.0002766203703703704</v>
      </c>
      <c r="BF17" s="61">
        <v>0.00017361111111111112</v>
      </c>
      <c r="BG17" s="71">
        <v>0.7222222222222222</v>
      </c>
      <c r="BH17" s="78">
        <f>IF(BG17="","",IF(BG17="",0,IF(BG17=0,'[1]М лист'!$C$32,IF(AX17=0,0,IF((BG17-AX17-'[1]М лист'!$D$23)&gt;0,BG17-AX17-'[1]М лист'!$D$23,0)))))</f>
        <v>0</v>
      </c>
      <c r="BI17" s="60">
        <f>IF(BG17="","",IF(AX17=0,0,IF((BG17-AX17-'[1]М лист'!$D$23)&gt;0,ABS(BG17-AX17-'[1]М лист'!$D$23),0)))</f>
        <v>0</v>
      </c>
      <c r="BJ17" s="72"/>
      <c r="BK17" s="81">
        <f t="shared" si="6"/>
        <v>0</v>
      </c>
      <c r="BL17" s="82">
        <f t="shared" si="7"/>
        <v>0.001144675925925926</v>
      </c>
      <c r="BM17" s="82">
        <f t="shared" si="8"/>
        <v>0.008957175925925993</v>
      </c>
      <c r="BN17" s="87">
        <f t="shared" si="9"/>
        <v>0.007719907407407297</v>
      </c>
      <c r="BO17" s="88">
        <f t="shared" si="10"/>
        <v>0.00042129629629625645</v>
      </c>
      <c r="BP17" s="85">
        <v>13</v>
      </c>
      <c r="BQ17" s="86">
        <v>8</v>
      </c>
    </row>
    <row r="18" spans="1:69" ht="17.25" customHeight="1">
      <c r="A18" s="90">
        <v>23</v>
      </c>
      <c r="B18" s="55" t="s">
        <v>50</v>
      </c>
      <c r="C18" s="56" t="s">
        <v>51</v>
      </c>
      <c r="D18" s="56" t="s">
        <v>2</v>
      </c>
      <c r="E18" s="56" t="s">
        <v>52</v>
      </c>
      <c r="F18" s="57">
        <v>6338</v>
      </c>
      <c r="G18" s="57">
        <v>1959</v>
      </c>
      <c r="H18" s="58" t="s">
        <v>149</v>
      </c>
      <c r="I18" s="58" t="s">
        <v>149</v>
      </c>
      <c r="J18" s="59">
        <f>IF(I18="","",IF(I18=0,'[1]М лист'!$C$32,ABS(I18-H18)))</f>
        <v>0</v>
      </c>
      <c r="K18" s="60">
        <f t="shared" si="0"/>
        <v>0</v>
      </c>
      <c r="L18" s="61"/>
      <c r="M18" s="62">
        <v>0.5590277777777778</v>
      </c>
      <c r="N18" s="59">
        <f>IF(M18="","",IF(M18=0,'[1]М лист'!$C$32,IF(I18=0,0,ABS(M18-I18-'[1]М лист'!$D$10))))</f>
        <v>1.0408340855860843E-17</v>
      </c>
      <c r="O18" s="60">
        <f>IF(M18="","",IF((M18-I18-'[1]М лист'!$D$10)&gt;0,ABS(M18-I18-'[1]М лист'!$D$10),0))</f>
        <v>1.0408340855860843E-17</v>
      </c>
      <c r="P18" s="61"/>
      <c r="Q18" s="63">
        <v>0.00019444444444444446</v>
      </c>
      <c r="R18" s="61"/>
      <c r="S18" s="64">
        <v>0.5791666666666667</v>
      </c>
      <c r="T18" s="65">
        <f>IF(S18="",0,IF(S18=0,'[1]М лист'!$C$32,IF(M18=0,0,S18-M18)))</f>
        <v>0.02013888888888893</v>
      </c>
      <c r="U18" s="66">
        <f>IF(S18="",0,IF(S18=0,'[1]М лист'!$C$32,IF(T18="",0,IF(T18&lt;('[1]М лист'!$C$37-'[1]М лист'!$C$38),'[1]М лист'!$C$37-'[1]М лист'!$C$38-T18,0))))</f>
        <v>0</v>
      </c>
      <c r="V18" s="67">
        <v>0.5833333333333334</v>
      </c>
      <c r="W18" s="68">
        <f>IF(V18="",0,IF(V18="",0,IF(V18=0,'[1]М лист'!$C$32,IF(M18=0,0,ABS(V18-M18-'[1]М лист'!$D$12)))))</f>
        <v>0.002777777777777799</v>
      </c>
      <c r="X18" s="69">
        <f>IF(V18="",0,IF(M18=0,0,IF((V18-M18-'[1]М лист'!$D$12)&gt;0,ABS(V18-M18-'[1]М лист'!$D$12),0)))</f>
        <v>0.002777777777777799</v>
      </c>
      <c r="Y18" s="70"/>
      <c r="Z18" s="71">
        <v>0.5972222222222222</v>
      </c>
      <c r="AA18" s="59">
        <f>IF(Z18="",0,IF(Z18="",0,IF(Z18=0,'[1]М лист'!$C$32,IF(V18=0,0,ABS(Z18-V18-'[1]М лист'!$D$13)))))</f>
        <v>4.85722573273506E-17</v>
      </c>
      <c r="AB18" s="60">
        <f>IF(Z18="",0,IF(V18=0,0,IF((Z18-V18-'[1]М лист'!$D$13)&gt;0,ABS(Z18-V18-'[1]М лист'!$D$13),0)))</f>
        <v>0</v>
      </c>
      <c r="AC18" s="72"/>
      <c r="AD18" s="62">
        <v>0.6</v>
      </c>
      <c r="AE18" s="73">
        <v>0.6083680555555556</v>
      </c>
      <c r="AF18" s="65">
        <f t="shared" si="1"/>
        <v>0.008368055555555642</v>
      </c>
      <c r="AG18" s="74">
        <f>IF(AF18="","",IF(('[1]М лист'!$D$14-'[1]М лист'!$C$33-AF18)&gt;'[1]М лист'!C$36,'[1]М лист'!$C$36,IF(AF18&gt;('[1]М лист'!D$14+'[1]М лист'!$C$33),AF18-'[1]М лист'!D$14-'[1]М лист'!$C$33,IF(AF18&lt;('[1]М лист'!$D$14-'[1]М лист'!$C$33),'[1]М лист'!$D$14-'[1]М лист'!$C$33-AF18,0))))</f>
        <v>0.005138888888888976</v>
      </c>
      <c r="AH18" s="74">
        <f>IF(AE18="","",IF(AG18&gt;'[1]М лист'!$C$36,'[1]М лист'!$C$36,AG18))</f>
        <v>0.005138888888888976</v>
      </c>
      <c r="AI18" s="61"/>
      <c r="AJ18" s="62">
        <v>0.6145833333333334</v>
      </c>
      <c r="AK18" s="73">
        <v>0.6173148148148148</v>
      </c>
      <c r="AL18" s="65">
        <f t="shared" si="2"/>
        <v>0.0027314814814813904</v>
      </c>
      <c r="AM18" s="74">
        <f>IF(AL18="","",IF(AL18&gt;('[1]М лист'!$D$15+'[1]М лист'!$C$33),AL18-'[1]М лист'!$D$15-'[1]М лист'!$C$33,IF(AL18&lt;('[1]М лист'!$D$15-'[1]М лист'!$C$33),'[1]М лист'!$D$15-'[1]М лист'!$C$33-AL18,0)))</f>
        <v>5.7870370370279605E-05</v>
      </c>
      <c r="AN18" s="74">
        <f>IF(AK18="","",IF(AM18&gt;'[1]М лист'!$C$36,'[1]М лист'!$C$36,AM18))</f>
        <v>5.7870370370279605E-05</v>
      </c>
      <c r="AO18" s="61"/>
      <c r="AP18" s="75"/>
      <c r="AQ18" s="64">
        <v>0.6381944444444444</v>
      </c>
      <c r="AR18" s="59">
        <v>0</v>
      </c>
      <c r="AS18" s="60">
        <v>0</v>
      </c>
      <c r="AT18" s="72"/>
      <c r="AU18" s="76">
        <f t="shared" si="3"/>
        <v>0.0027777777777778095</v>
      </c>
      <c r="AV18" s="77">
        <f>J18+L18+N18+P18+Q19+R18+U18+W18+Y18+AA18+AC18+AH18+AI18+AN18+AO18+AP18+AR18+AT18</f>
        <v>0.008178240740740817</v>
      </c>
      <c r="AW18" s="62">
        <v>0.6951388888888889</v>
      </c>
      <c r="AX18" s="62">
        <v>0.6951388888888889</v>
      </c>
      <c r="AY18" s="78">
        <f>IF(AX18="","",IF(AX18="",0,IF(AX18=0,'[1]М лист'!$C$32,ABS(AX18-AW18))))</f>
        <v>0</v>
      </c>
      <c r="AZ18" s="60">
        <f t="shared" si="5"/>
        <v>0</v>
      </c>
      <c r="BA18" s="61"/>
      <c r="BB18" s="79">
        <v>0.0005208333333333333</v>
      </c>
      <c r="BC18" s="61"/>
      <c r="BD18" s="80"/>
      <c r="BE18" s="63">
        <v>0.00024189814814814812</v>
      </c>
      <c r="BF18" s="61">
        <v>0.00023148148148148146</v>
      </c>
      <c r="BG18" s="71">
        <v>0.748611111111111</v>
      </c>
      <c r="BH18" s="78">
        <f>IF(BG18="","",IF(BG18="",0,IF(BG18=0,'[1]М лист'!$C$32,IF(AX18=0,0,IF((BG18-AX18-'[1]М лист'!$D$23)&gt;0,BG18-AX18-'[1]М лист'!$D$23,0)))))</f>
        <v>0</v>
      </c>
      <c r="BI18" s="60">
        <f>IF(BG18="","",IF(AX18=0,0,IF((BG18-AX18-'[1]М лист'!$D$23)&gt;0,ABS(BG18-AX18-'[1]М лист'!$D$23),0)))</f>
        <v>0</v>
      </c>
      <c r="BJ18" s="72"/>
      <c r="BK18" s="81">
        <f t="shared" si="6"/>
        <v>0</v>
      </c>
      <c r="BL18" s="82">
        <f t="shared" si="7"/>
        <v>0.0009942129629629628</v>
      </c>
      <c r="BM18" s="82">
        <f t="shared" si="8"/>
        <v>0.00917245370370378</v>
      </c>
      <c r="BN18" s="87">
        <f t="shared" si="9"/>
        <v>0.007935185185185083</v>
      </c>
      <c r="BO18" s="88">
        <f t="shared" si="10"/>
        <v>0.00021527777777778645</v>
      </c>
      <c r="BP18" s="89">
        <v>14</v>
      </c>
      <c r="BQ18" s="90">
        <v>23</v>
      </c>
    </row>
    <row r="19" spans="1:69" ht="17.25" customHeight="1" thickBot="1">
      <c r="A19" s="90">
        <v>21</v>
      </c>
      <c r="B19" s="55" t="s">
        <v>72</v>
      </c>
      <c r="C19" s="56" t="s">
        <v>73</v>
      </c>
      <c r="D19" s="56" t="s">
        <v>2</v>
      </c>
      <c r="E19" s="56" t="s">
        <v>18</v>
      </c>
      <c r="F19" s="57">
        <v>2400</v>
      </c>
      <c r="G19" s="57">
        <v>1958</v>
      </c>
      <c r="H19" s="58" t="s">
        <v>150</v>
      </c>
      <c r="I19" s="58" t="s">
        <v>150</v>
      </c>
      <c r="J19" s="59">
        <f>IF(I19="","",IF(I19=0,'[1]М лист'!$C$32,ABS(I19-H19)))</f>
        <v>0</v>
      </c>
      <c r="K19" s="60">
        <f t="shared" si="0"/>
        <v>0</v>
      </c>
      <c r="L19" s="61"/>
      <c r="M19" s="62">
        <v>0.55625</v>
      </c>
      <c r="N19" s="59">
        <f>IF(M19="","",IF(M19=0,'[1]М лист'!$C$32,IF(I19=0,0,ABS(M19-I19-'[1]М лист'!$D$10))))</f>
        <v>1.0408340855860843E-17</v>
      </c>
      <c r="O19" s="60">
        <f>IF(M19="","",IF((M19-I19-'[1]М лист'!$D$10)&gt;0,ABS(M19-I19-'[1]М лист'!$D$10),0))</f>
        <v>1.0408340855860843E-17</v>
      </c>
      <c r="P19" s="61"/>
      <c r="Q19" s="63">
        <v>0.0002037037037037037</v>
      </c>
      <c r="R19" s="61"/>
      <c r="S19" s="64">
        <v>0.5777777777777778</v>
      </c>
      <c r="T19" s="65">
        <f>IF(S19="",0,IF(S19=0,'[1]М лист'!$C$32,IF(M19=0,0,S19-M19)))</f>
        <v>0.021527777777777812</v>
      </c>
      <c r="U19" s="66">
        <f>IF(S19="",0,IF(S19=0,'[1]М лист'!$C$32,IF(T19="",0,IF(T19&lt;('[1]М лист'!$C$37-'[1]М лист'!$C$38),'[1]М лист'!$C$37-'[1]М лист'!$C$38-T19,0))))</f>
        <v>0</v>
      </c>
      <c r="V19" s="67">
        <v>0.5826388888888888</v>
      </c>
      <c r="W19" s="68">
        <f>IF(V19="",0,IF(V19="",0,IF(V19=0,'[1]М лист'!$C$32,IF(M19=0,0,ABS(V19-M19-'[1]М лист'!$D$12)))))</f>
        <v>0.004861111111111014</v>
      </c>
      <c r="X19" s="69">
        <f>IF(V19="",0,IF(M19=0,0,IF((V19-M19-'[1]М лист'!$D$12)&gt;0,ABS(V19-M19-'[1]М лист'!$D$12),0)))</f>
        <v>0.004861111111111014</v>
      </c>
      <c r="Y19" s="70"/>
      <c r="Z19" s="71">
        <v>0.5965277777777778</v>
      </c>
      <c r="AA19" s="59">
        <f>IF(Z19="",0,IF(Z19="",0,IF(Z19=0,'[1]М лист'!$C$32,IF(V19=0,0,ABS(Z19-V19-'[1]М лист'!$D$13)))))</f>
        <v>6.245004513516506E-17</v>
      </c>
      <c r="AB19" s="60">
        <f>IF(Z19="",0,IF(V19=0,0,IF((Z19-V19-'[1]М лист'!$D$13)&gt;0,ABS(Z19-V19-'[1]М лист'!$D$13),0)))</f>
        <v>6.245004513516506E-17</v>
      </c>
      <c r="AC19" s="72"/>
      <c r="AD19" s="62">
        <v>0.5986111111111111</v>
      </c>
      <c r="AE19" s="73">
        <v>0.6060532407407407</v>
      </c>
      <c r="AF19" s="65">
        <f t="shared" si="1"/>
        <v>0.007442129629629646</v>
      </c>
      <c r="AG19" s="74">
        <f>IF(AF19="","",IF(('[1]М лист'!$D$14-'[1]М лист'!$C$33-AF19)&gt;'[1]М лист'!C$36,'[1]М лист'!$C$36,IF(AF19&gt;('[1]М лист'!D$14+'[1]М лист'!$C$33),AF19-'[1]М лист'!D$14-'[1]М лист'!$C$33,IF(AF19&lt;('[1]М лист'!$D$14-'[1]М лист'!$C$33),'[1]М лист'!$D$14-'[1]М лист'!$C$33-AF19,0))))</f>
        <v>0.004212962962962979</v>
      </c>
      <c r="AH19" s="74">
        <f>IF(AE19="","",IF(AG19&gt;'[1]М лист'!$C$36,'[1]М лист'!$C$36,AG19))</f>
        <v>0.004212962962962979</v>
      </c>
      <c r="AI19" s="61"/>
      <c r="AJ19" s="62">
        <v>0.6090277777777778</v>
      </c>
      <c r="AK19" s="73">
        <v>0.6116550925925927</v>
      </c>
      <c r="AL19" s="65">
        <f t="shared" si="2"/>
        <v>0.0026273148148148184</v>
      </c>
      <c r="AM19" s="74">
        <f>IF(AL19="","",IF(AL19&gt;('[1]М лист'!$D$15+'[1]М лист'!$C$33),AL19-'[1]М лист'!$D$15-'[1]М лист'!$C$33,IF(AL19&lt;('[1]М лист'!$D$15-'[1]М лист'!$C$33),'[1]М лист'!$D$15-'[1]М лист'!$C$33-AL19,0)))</f>
        <v>0</v>
      </c>
      <c r="AN19" s="74">
        <f>IF(AK19="","",IF(AM19&gt;'[1]М лист'!$C$36,'[1]М лист'!$C$36,AM19))</f>
        <v>0</v>
      </c>
      <c r="AO19" s="61"/>
      <c r="AP19" s="75"/>
      <c r="AQ19" s="64">
        <v>0.6340277777777777</v>
      </c>
      <c r="AR19" s="59">
        <f>IF(AQ19="",0,IF(AQ19="",0,IF(AQ19=0,'[1]М лист'!$C$32,IF(AD19=0,0,IF((AQ19-AD19-'[1]М лист'!$D$16)&gt;0,AQ19-AD19-'[1]М лист'!$D$16,0)))))</f>
        <v>0.0006944444444444281</v>
      </c>
      <c r="AS19" s="60">
        <f>IF(AQ19="",0,IF(AD19=0,0,IF((AQ19-AD19-'[1]М лист'!$D$16)&gt;0,ABS(AQ19-AD19-'[1]М лист'!$D$16),0)))</f>
        <v>0.0006944444444444281</v>
      </c>
      <c r="AT19" s="72"/>
      <c r="AU19" s="76">
        <f t="shared" si="3"/>
        <v>0.005555555555555515</v>
      </c>
      <c r="AV19" s="77">
        <f>J19+L19+N19+P19+Q18+R19+U19+W19+Y19+AA19+AC19+AH19+AI19+AN19+AO19+AP19+AR19+AT19</f>
        <v>0.009962962962962937</v>
      </c>
      <c r="AW19" s="62">
        <v>0.6923611111111111</v>
      </c>
      <c r="AX19" s="58">
        <v>0.6923611111111111</v>
      </c>
      <c r="AY19" s="78">
        <f>IF(AX19="","",IF(AX19="",0,IF(AX19=0,'[1]М лист'!$C$32,ABS(AX19-AW19))))</f>
        <v>0</v>
      </c>
      <c r="AZ19" s="60">
        <f t="shared" si="5"/>
        <v>0</v>
      </c>
      <c r="BA19" s="61"/>
      <c r="BB19" s="79">
        <v>0.0009259259259259259</v>
      </c>
      <c r="BC19" s="61"/>
      <c r="BD19" s="95"/>
      <c r="BE19" s="63">
        <v>0.0004664351851851852</v>
      </c>
      <c r="BF19" s="61"/>
      <c r="BG19" s="71">
        <v>0.7458333333333332</v>
      </c>
      <c r="BH19" s="78">
        <f>IF(BG19="","",IF(BG19="",0,IF(BG19=0,'[1]М лист'!$C$32,IF(AX19=0,0,IF((BG19-AX19-'[1]М лист'!$D$23)&gt;0,BG19-AX19-'[1]М лист'!$D$23,0)))))</f>
        <v>0</v>
      </c>
      <c r="BI19" s="60">
        <f>IF(BG19="","",IF(AX19=0,0,IF((BG19-AX19-'[1]М лист'!$D$23)&gt;0,ABS(BG19-AX19-'[1]М лист'!$D$23),0)))</f>
        <v>0</v>
      </c>
      <c r="BJ19" s="72"/>
      <c r="BK19" s="81">
        <f t="shared" si="6"/>
        <v>0</v>
      </c>
      <c r="BL19" s="82">
        <f t="shared" si="7"/>
        <v>0.0013923611111111111</v>
      </c>
      <c r="BM19" s="82">
        <f t="shared" si="8"/>
        <v>0.011355324074074049</v>
      </c>
      <c r="BN19" s="87">
        <f t="shared" si="9"/>
        <v>0.010118055555555353</v>
      </c>
      <c r="BO19" s="88">
        <f t="shared" si="10"/>
        <v>0.002182870370370269</v>
      </c>
      <c r="BP19" s="85">
        <v>15</v>
      </c>
      <c r="BQ19" s="90">
        <v>21</v>
      </c>
    </row>
    <row r="20" spans="1:69" ht="17.25" customHeight="1">
      <c r="A20" s="86">
        <v>29</v>
      </c>
      <c r="B20" s="55" t="s">
        <v>66</v>
      </c>
      <c r="C20" s="56" t="s">
        <v>67</v>
      </c>
      <c r="D20" s="56" t="s">
        <v>2</v>
      </c>
      <c r="E20" s="56" t="s">
        <v>68</v>
      </c>
      <c r="F20" s="57">
        <v>8200</v>
      </c>
      <c r="G20" s="57">
        <v>1971</v>
      </c>
      <c r="H20" s="58" t="s">
        <v>151</v>
      </c>
      <c r="I20" s="58" t="s">
        <v>151</v>
      </c>
      <c r="J20" s="59">
        <f>IF(I20="","",IF(I20=0,'[1]М лист'!$C$32,ABS(I20-H20)))</f>
        <v>0</v>
      </c>
      <c r="K20" s="60">
        <f t="shared" si="0"/>
        <v>0</v>
      </c>
      <c r="L20" s="61"/>
      <c r="M20" s="62">
        <v>0.5680555555555555</v>
      </c>
      <c r="N20" s="59">
        <f>IF(M20="","",IF(M20=0,'[1]М лист'!$C$32,IF(I20=0,0,ABS(M20-I20-'[1]М лист'!$D$10))))</f>
        <v>0.0006944444444444524</v>
      </c>
      <c r="O20" s="60">
        <f>IF(M20="","",IF((M20-I20-'[1]М лист'!$D$10)&gt;0,ABS(M20-I20-'[1]М лист'!$D$10),0))</f>
        <v>0.0006944444444444524</v>
      </c>
      <c r="P20" s="61"/>
      <c r="Q20" s="63">
        <v>0.00016435185185185183</v>
      </c>
      <c r="R20" s="61"/>
      <c r="S20" s="64">
        <v>0.5875</v>
      </c>
      <c r="T20" s="65">
        <f>IF(S20="",0,IF(S20=0,'[1]М лист'!$C$32,IF(M20=0,0,S20-M20)))</f>
        <v>0.019444444444444486</v>
      </c>
      <c r="U20" s="66">
        <f>IF(S20="",0,IF(S20=0,'[1]М лист'!$C$32,IF(T20="",0,IF(T20&lt;('[1]М лист'!$C$37-'[1]М лист'!$C$38),'[1]М лист'!$C$37-'[1]М лист'!$C$38-T20,0))))</f>
        <v>0</v>
      </c>
      <c r="V20" s="67">
        <v>0.5923611111111111</v>
      </c>
      <c r="W20" s="68">
        <f>IF(V20="",0,IF(V20="",0,IF(V20=0,'[1]М лист'!$C$32,IF(M20=0,0,ABS(V20-M20-'[1]М лист'!$D$12)))))</f>
        <v>0.002777777777777799</v>
      </c>
      <c r="X20" s="69">
        <f>IF(V20="",0,IF(M20=0,0,IF((V20-M20-'[1]М лист'!$D$12)&gt;0,ABS(V20-M20-'[1]М лист'!$D$12),0)))</f>
        <v>0.002777777777777799</v>
      </c>
      <c r="Y20" s="70"/>
      <c r="Z20" s="71">
        <v>0.6069444444444444</v>
      </c>
      <c r="AA20" s="59">
        <f>IF(Z20="",0,IF(Z20="",0,IF(Z20=0,'[1]М лист'!$C$32,IF(V20=0,0,ABS(Z20-V20-'[1]М лист'!$D$13)))))</f>
        <v>0.0006944444444443934</v>
      </c>
      <c r="AB20" s="60">
        <f>IF(Z20="",0,IF(V20=0,0,IF((Z20-V20-'[1]М лист'!$D$13)&gt;0,ABS(Z20-V20-'[1]М лист'!$D$13),0)))</f>
        <v>0.0006944444444443934</v>
      </c>
      <c r="AC20" s="72"/>
      <c r="AD20" s="62">
        <v>0.6125</v>
      </c>
      <c r="AE20" s="73">
        <v>0.615625</v>
      </c>
      <c r="AF20" s="65">
        <f t="shared" si="1"/>
        <v>0.0031249999999999334</v>
      </c>
      <c r="AG20" s="74">
        <f>IF(AF20="","",IF(('[1]М лист'!$D$14-'[1]М лист'!$C$33-AF20)&gt;'[1]М лист'!C$36,'[1]М лист'!$C$36,IF(AF20&gt;('[1]М лист'!D$14+'[1]М лист'!$C$33),AF20-'[1]М лист'!D$14-'[1]М лист'!$C$33,IF(AF20&lt;('[1]М лист'!$D$14-'[1]М лист'!$C$33),'[1]М лист'!$D$14-'[1]М лист'!$C$33-AF20,0))))</f>
        <v>3.47222222222888E-05</v>
      </c>
      <c r="AH20" s="74">
        <f>IF(AE20="","",IF(AG20&gt;'[1]М лист'!$C$36,'[1]М лист'!$C$36,AG20))</f>
        <v>3.47222222222888E-05</v>
      </c>
      <c r="AI20" s="61"/>
      <c r="AJ20" s="62">
        <v>0.6229166666666667</v>
      </c>
      <c r="AK20" s="73">
        <v>0.6260069444444444</v>
      </c>
      <c r="AL20" s="65">
        <f t="shared" si="2"/>
        <v>0.0030902777777777057</v>
      </c>
      <c r="AM20" s="74">
        <f>IF(AL20="","",IF(AL20&gt;('[1]М лист'!$D$15+'[1]М лист'!$C$33),AL20-'[1]М лист'!$D$15-'[1]М лист'!$C$33,IF(AL20&lt;('[1]М лист'!$D$15-'[1]М лист'!$C$33),'[1]М лист'!$D$15-'[1]М лист'!$C$33-AL20,0)))</f>
        <v>0.000416666666666595</v>
      </c>
      <c r="AN20" s="74">
        <f>IF(AK20="","",IF(AM20&gt;'[1]М лист'!$C$36,'[1]М лист'!$C$36,AM20))</f>
        <v>0.000416666666666595</v>
      </c>
      <c r="AO20" s="61"/>
      <c r="AP20" s="75"/>
      <c r="AQ20" s="64">
        <v>0.6486111111111111</v>
      </c>
      <c r="AR20" s="59">
        <v>0</v>
      </c>
      <c r="AS20" s="60">
        <v>0</v>
      </c>
      <c r="AT20" s="72"/>
      <c r="AU20" s="76">
        <f t="shared" si="3"/>
        <v>0.004166666666666645</v>
      </c>
      <c r="AV20" s="77">
        <f>J20+L20+N20+P20+Q20+R20+U20+W20+Y20+AA20+AC20+AH20+AI20+AN20+AO20+AP20+AR20+AT20</f>
        <v>0.004782407407407379</v>
      </c>
      <c r="AW20" s="62">
        <v>0.7034722222222222</v>
      </c>
      <c r="AX20" s="58">
        <v>0.7034722222222222</v>
      </c>
      <c r="AY20" s="78">
        <f>IF(AX20="","",IF(AX20="",0,IF(AX20=0,'[1]М лист'!$C$32,ABS(AX20-AW20))))</f>
        <v>0</v>
      </c>
      <c r="AZ20" s="60">
        <f t="shared" si="5"/>
        <v>0</v>
      </c>
      <c r="BA20" s="61"/>
      <c r="BB20" s="79">
        <v>0.0005208333333333333</v>
      </c>
      <c r="BC20" s="61"/>
      <c r="BD20" s="80"/>
      <c r="BE20" s="63"/>
      <c r="BF20" s="61">
        <v>0.006944444444444444</v>
      </c>
      <c r="BG20" s="71">
        <v>0.7555555555555555</v>
      </c>
      <c r="BH20" s="78">
        <f>IF(BG20="","",IF(BG20="",0,IF(BG20=0,'[1]М лист'!$C$32,IF(AX20=0,0,IF((BG20-AX20-'[1]М лист'!$D$23)&gt;0,BG20-AX20-'[1]М лист'!$D$23,0)))))</f>
        <v>0</v>
      </c>
      <c r="BI20" s="60">
        <f>IF(BG20="","",IF(AX20=0,0,IF((BG20-AX20-'[1]М лист'!$D$23)&gt;0,ABS(BG20-AX20-'[1]М лист'!$D$23),0)))</f>
        <v>0</v>
      </c>
      <c r="BJ20" s="72"/>
      <c r="BK20" s="81">
        <f t="shared" si="6"/>
        <v>0</v>
      </c>
      <c r="BL20" s="82">
        <f t="shared" si="7"/>
        <v>0.007465277777777777</v>
      </c>
      <c r="BM20" s="82">
        <f t="shared" si="8"/>
        <v>0.012247685185185157</v>
      </c>
      <c r="BN20" s="87">
        <f t="shared" si="9"/>
        <v>0.01101041666666646</v>
      </c>
      <c r="BO20" s="88">
        <f t="shared" si="10"/>
        <v>0.0008923611111111077</v>
      </c>
      <c r="BP20" s="89">
        <v>16</v>
      </c>
      <c r="BQ20" s="86">
        <v>29</v>
      </c>
    </row>
    <row r="21" spans="1:69" ht="17.25" customHeight="1">
      <c r="A21" s="86">
        <v>9</v>
      </c>
      <c r="B21" s="55" t="s">
        <v>9</v>
      </c>
      <c r="C21" s="56" t="s">
        <v>10</v>
      </c>
      <c r="D21" s="56" t="s">
        <v>11</v>
      </c>
      <c r="E21" s="56" t="s">
        <v>12</v>
      </c>
      <c r="F21" s="57">
        <v>2445</v>
      </c>
      <c r="G21" s="57">
        <v>1976</v>
      </c>
      <c r="H21" s="58" t="s">
        <v>152</v>
      </c>
      <c r="I21" s="58" t="s">
        <v>152</v>
      </c>
      <c r="J21" s="59">
        <f>IF(I21="","",IF(I21=0,'[1]М лист'!$C$32,ABS(I21-H21)))</f>
        <v>0</v>
      </c>
      <c r="K21" s="60">
        <f t="shared" si="0"/>
        <v>0</v>
      </c>
      <c r="L21" s="61"/>
      <c r="M21" s="62">
        <v>0.5395833333333333</v>
      </c>
      <c r="N21" s="59">
        <f>IF(M21="","",IF(M21=0,'[1]М лист'!$C$32,IF(I21=0,0,ABS(M21-I21-'[1]М лист'!$D$10))))</f>
        <v>1.0408340855860843E-17</v>
      </c>
      <c r="O21" s="60">
        <f>IF(M21="","",IF((M21-I21-'[1]М лист'!$D$10)&gt;0,ABS(M21-I21-'[1]М лист'!$D$10),0))</f>
        <v>1.0408340855860843E-17</v>
      </c>
      <c r="P21" s="61"/>
      <c r="Q21" s="63">
        <v>0.00023726851851851852</v>
      </c>
      <c r="R21" s="61"/>
      <c r="S21" s="64">
        <v>0.5694444444444444</v>
      </c>
      <c r="T21" s="65">
        <f>IF(S21="",0,IF(S21=0,'[1]М лист'!$C$32,IF(M21=0,0,S21-M21)))</f>
        <v>0.029861111111111116</v>
      </c>
      <c r="U21" s="66">
        <f>IF(S21="",0,IF(S21=0,'[1]М лист'!$C$32,IF(T21="",0,IF(T21&lt;('[1]М лист'!$C$37-'[1]М лист'!$C$38),'[1]М лист'!$C$37-'[1]М лист'!$C$38-T21,0))))</f>
        <v>0</v>
      </c>
      <c r="V21" s="67">
        <v>0.5729166666666666</v>
      </c>
      <c r="W21" s="68">
        <f>IF(V21="",0,IF(V21="",0,IF(V21=0,'[1]М лист'!$C$32,IF(M21=0,0,ABS(V21-M21-'[1]М лист'!$D$12)))))</f>
        <v>0.011805555555555545</v>
      </c>
      <c r="X21" s="69">
        <f>IF(V21="",0,IF(M21=0,0,IF((V21-M21-'[1]М лист'!$D$12)&gt;0,ABS(V21-M21-'[1]М лист'!$D$12),0)))</f>
        <v>0.011805555555555545</v>
      </c>
      <c r="Y21" s="70"/>
      <c r="Z21" s="71">
        <v>0.5868055555555556</v>
      </c>
      <c r="AA21" s="59">
        <f>IF(Z21="",0,IF(Z21="",0,IF(Z21=0,'[1]М лист'!$C$32,IF(V21=0,0,ABS(Z21-V21-'[1]М лист'!$D$13)))))</f>
        <v>6.245004513516506E-17</v>
      </c>
      <c r="AB21" s="60">
        <f>IF(Z21="",0,IF(V21=0,0,IF((Z21-V21-'[1]М лист'!$D$13)&gt;0,ABS(Z21-V21-'[1]М лист'!$D$13),0)))</f>
        <v>6.245004513516506E-17</v>
      </c>
      <c r="AC21" s="72"/>
      <c r="AD21" s="62">
        <v>0.5888888888888889</v>
      </c>
      <c r="AE21" s="73">
        <v>0.5918865740740741</v>
      </c>
      <c r="AF21" s="65">
        <f t="shared" si="1"/>
        <v>0.0029976851851851727</v>
      </c>
      <c r="AG21" s="74">
        <f>IF(AF21="",0,IF(('[1]М лист'!$D$14-'[1]М лист'!$C$33-AF21)&gt;'[1]М лист'!C$36,'[1]М лист'!$C$36,IF(AF21&gt;('[1]М лист'!D$14+'[1]М лист'!$C$33),AF21-'[1]М лист'!D$14-'[1]М лист'!$C$33,IF(AF21&lt;('[1]М лист'!$D$14-'[1]М лист'!$C$33),'[1]М лист'!$D$14-'[1]М лист'!$C$33-AF21,0))))</f>
        <v>0.0001620370370370495</v>
      </c>
      <c r="AH21" s="74">
        <f>IF(AE21="",0,IF(AG21&gt;'[1]М лист'!$C$36,'[1]М лист'!$C$36,AG21))</f>
        <v>0.0001620370370370495</v>
      </c>
      <c r="AI21" s="61"/>
      <c r="AJ21" s="62">
        <v>0.5951388888888889</v>
      </c>
      <c r="AK21" s="73">
        <v>0.5977199074074074</v>
      </c>
      <c r="AL21" s="65">
        <f t="shared" si="2"/>
        <v>0.002581018518518552</v>
      </c>
      <c r="AM21" s="74">
        <f>IF(AL21="",0,IF(AL21&gt;('[1]М лист'!$D$15+'[1]М лист'!$C$33),AL21-'[1]М лист'!$D$15-'[1]М лист'!$C$33,IF(AL21&lt;('[1]М лист'!$D$15-'[1]М лист'!$C$33),'[1]М лист'!$D$15-'[1]М лист'!$C$33-AL21,0)))</f>
        <v>2.3148148148114615E-05</v>
      </c>
      <c r="AN21" s="74">
        <f>IF(AK21="","",IF(AM21&gt;'[1]М лист'!$C$36,'[1]М лист'!$C$36,AM21))</f>
        <v>2.3148148148114615E-05</v>
      </c>
      <c r="AO21" s="61"/>
      <c r="AP21" s="75"/>
      <c r="AQ21" s="64">
        <v>0.6173611111111111</v>
      </c>
      <c r="AR21" s="59">
        <f>IF(AQ21="",0,IF(AQ21="",0,IF(AQ21=0,'[1]М лист'!$C$32,IF(AD21=0,0,IF((AQ21-AD21-'[1]М лист'!$D$16)&gt;0,AQ21-AD21-'[1]М лист'!$D$16,0)))))</f>
        <v>0</v>
      </c>
      <c r="AS21" s="60">
        <f>IF(AQ21="",0,IF(AD21=0,0,IF((AQ21-AD21-'[1]М лист'!$D$16)&gt;0,ABS(AQ21-AD21-'[1]М лист'!$D$16),0)))</f>
        <v>0</v>
      </c>
      <c r="AT21" s="72">
        <v>3.472222222222222E-05</v>
      </c>
      <c r="AU21" s="76">
        <f t="shared" si="3"/>
        <v>0.011805555555555618</v>
      </c>
      <c r="AV21" s="77">
        <f>J21+L21+N21+P21+Q21+R21+U21+W21+Y21+AA21+AC21+AH21+AI21+AN21+AO21+AP21+AR21+AT21</f>
        <v>0.012262731481481522</v>
      </c>
      <c r="AW21" s="62">
        <v>0.6770833333333334</v>
      </c>
      <c r="AX21" s="58">
        <v>0.6770833333333334</v>
      </c>
      <c r="AY21" s="78">
        <f>IF(AX21="","",IF(AX21="",0,IF(AX21=0,'[1]М лист'!$C$32,ABS(AX21-AW21))))</f>
        <v>0</v>
      </c>
      <c r="AZ21" s="60">
        <f t="shared" si="5"/>
        <v>0</v>
      </c>
      <c r="BA21" s="61"/>
      <c r="BB21" s="79">
        <v>0.0007523148148148147</v>
      </c>
      <c r="BC21" s="61"/>
      <c r="BD21" s="80"/>
      <c r="BE21" s="63">
        <v>0.00048379629629629624</v>
      </c>
      <c r="BF21" s="61"/>
      <c r="BG21" s="71">
        <v>0.7263888888888889</v>
      </c>
      <c r="BH21" s="78">
        <f>IF(BG21="","",IF(BG21="",0,IF(BG21=0,'[1]М лист'!$C$32,IF(AX21=0,0,IF((BG21-AX21-'[1]М лист'!$D$23)&gt;0,BG21-AX21-'[1]М лист'!$D$23,0)))))</f>
        <v>0</v>
      </c>
      <c r="BI21" s="60">
        <f>IF(BG21="","",IF(AX21=0,0,IF((BG21-AX21-'[1]М лист'!$D$23)&gt;0,ABS(BG21-AX21-'[1]М лист'!$D$23),0)))</f>
        <v>0</v>
      </c>
      <c r="BJ21" s="72"/>
      <c r="BK21" s="81">
        <f t="shared" si="6"/>
        <v>0</v>
      </c>
      <c r="BL21" s="82">
        <f t="shared" si="7"/>
        <v>0.001236111111111111</v>
      </c>
      <c r="BM21" s="82">
        <f t="shared" si="8"/>
        <v>0.013498842592592633</v>
      </c>
      <c r="BN21" s="87">
        <f t="shared" si="9"/>
        <v>0.012261574074073937</v>
      </c>
      <c r="BO21" s="88">
        <f t="shared" si="10"/>
        <v>0.0012511574074074768</v>
      </c>
      <c r="BP21" s="85">
        <v>17</v>
      </c>
      <c r="BQ21" s="86">
        <v>9</v>
      </c>
    </row>
    <row r="22" spans="1:69" ht="17.25" customHeight="1">
      <c r="A22" s="86">
        <v>10</v>
      </c>
      <c r="B22" s="55" t="s">
        <v>31</v>
      </c>
      <c r="C22" s="56" t="s">
        <v>32</v>
      </c>
      <c r="D22" s="56" t="s">
        <v>87</v>
      </c>
      <c r="E22" s="56" t="s">
        <v>33</v>
      </c>
      <c r="F22" s="57">
        <v>1200</v>
      </c>
      <c r="G22" s="57">
        <v>1969</v>
      </c>
      <c r="H22" s="58" t="s">
        <v>153</v>
      </c>
      <c r="I22" s="58" t="s">
        <v>153</v>
      </c>
      <c r="J22" s="59">
        <f>IF(I22="","",IF(I22=0,'[1]М лист'!$C$32,ABS(I22-H22)))</f>
        <v>0</v>
      </c>
      <c r="K22" s="60">
        <f t="shared" si="0"/>
        <v>0</v>
      </c>
      <c r="L22" s="61"/>
      <c r="M22" s="62">
        <v>0.5402777777777777</v>
      </c>
      <c r="N22" s="59">
        <f>IF(M22="","",IF(M22=0,'[1]М лист'!$C$32,IF(I22=0,0,ABS(M22-I22-'[1]М лист'!$D$10))))</f>
        <v>0.0006944444444444316</v>
      </c>
      <c r="O22" s="60">
        <f>IF(M22="","",IF((M22-I22-'[1]М лист'!$D$10)&gt;0,ABS(M22-I22-'[1]М лист'!$D$10),0))</f>
        <v>0</v>
      </c>
      <c r="P22" s="61"/>
      <c r="Q22" s="63">
        <v>0.00023842592592592597</v>
      </c>
      <c r="R22" s="61">
        <v>5.7870370370370366E-05</v>
      </c>
      <c r="S22" s="64">
        <v>0.5694444444444444</v>
      </c>
      <c r="T22" s="65">
        <f>IF(S22="",0,IF(S22=0,'[1]М лист'!$C$32,IF(M22=0,0,S22-M22)))</f>
        <v>0.029166666666666674</v>
      </c>
      <c r="U22" s="66">
        <f>IF(S22="",0,IF(S22=0,'[1]М лист'!$C$32,IF(T22="",0,IF(T22&lt;('[1]М лист'!$C$37-'[1]М лист'!$C$38),'[1]М лист'!$C$37-'[1]М лист'!$C$38-T22,0))))</f>
        <v>0</v>
      </c>
      <c r="V22" s="67">
        <v>0.5736111111111112</v>
      </c>
      <c r="W22" s="68">
        <f>IF(V22="",0,IF(V22="",0,IF(V22=0,'[1]М лист'!$C$32,IF(M22=0,0,ABS(V22-M22-'[1]М лист'!$D$12)))))</f>
        <v>0.011805555555555656</v>
      </c>
      <c r="X22" s="69">
        <f>IF(V22="",0,IF(M22=0,0,IF((V22-M22-'[1]М лист'!$D$12)&gt;0,ABS(V22-M22-'[1]М лист'!$D$12),0)))</f>
        <v>0.011805555555555656</v>
      </c>
      <c r="Y22" s="70"/>
      <c r="Z22" s="71">
        <v>0.5875</v>
      </c>
      <c r="AA22" s="59">
        <f>IF(Z22="",0,IF(Z22="",0,IF(Z22=0,'[1]М лист'!$C$32,IF(V22=0,0,ABS(Z22-V22-'[1]М лист'!$D$13)))))</f>
        <v>4.85722573273506E-17</v>
      </c>
      <c r="AB22" s="60">
        <f>IF(Z22="",0,IF(V22=0,0,IF((Z22-V22-'[1]М лист'!$D$13)&gt;0,ABS(Z22-V22-'[1]М лист'!$D$13),0)))</f>
        <v>0</v>
      </c>
      <c r="AC22" s="72"/>
      <c r="AD22" s="62">
        <v>0.5895833333333333</v>
      </c>
      <c r="AE22" s="73">
        <v>0.5925347222222223</v>
      </c>
      <c r="AF22" s="65">
        <f t="shared" si="1"/>
        <v>0.002951388888888906</v>
      </c>
      <c r="AG22" s="74">
        <f>IF(AF22="","",IF(('[1]М лист'!$D$14-'[1]М лист'!$C$33-AF22)&gt;'[1]М лист'!C$36,'[1]М лист'!$C$36,IF(AF22&gt;('[1]М лист'!D$14+'[1]М лист'!$C$33),AF22-'[1]М лист'!D$14-'[1]М лист'!$C$33,IF(AF22&lt;('[1]М лист'!$D$14-'[1]М лист'!$C$33),'[1]М лист'!$D$14-'[1]М лист'!$C$33-AF22,0))))</f>
        <v>0.00020833333333331603</v>
      </c>
      <c r="AH22" s="74">
        <f>IF(AE22="","",IF(AG22&gt;'[1]М лист'!$C$36,'[1]М лист'!$C$36,AG22))</f>
        <v>0.00020833333333331603</v>
      </c>
      <c r="AI22" s="61"/>
      <c r="AJ22" s="62">
        <v>0.5965277777777778</v>
      </c>
      <c r="AK22" s="73">
        <v>0.5988888888888889</v>
      </c>
      <c r="AL22" s="65">
        <f t="shared" si="2"/>
        <v>0.002361111111111147</v>
      </c>
      <c r="AM22" s="74">
        <f>IF(AL22="","",IF(AL22&gt;('[1]М лист'!$D$15+'[1]М лист'!$C$33),AL22-'[1]М лист'!$D$15-'[1]М лист'!$C$33,IF(AL22&lt;('[1]М лист'!$D$15-'[1]М лист'!$C$33),'[1]М лист'!$D$15-'[1]М лист'!$C$33-AL22,0)))</f>
        <v>0.0002430555555555194</v>
      </c>
      <c r="AN22" s="74">
        <f>IF(AK22="","",IF(AM22&gt;'[1]М лист'!$C$36,'[1]М лист'!$C$36,AM22))</f>
        <v>0.0002430555555555194</v>
      </c>
      <c r="AO22" s="61"/>
      <c r="AP22" s="75"/>
      <c r="AQ22" s="64">
        <v>0.6229166666666667</v>
      </c>
      <c r="AR22" s="59">
        <f>IF(AQ22="",0,IF(AQ22="",0,IF(AQ22=0,'[1]М лист'!$C$32,IF(AD22=0,0,IF((AQ22-AD22-'[1]М лист'!$D$16)&gt;0,AQ22-AD22-'[1]М лист'!$D$16,0)))))</f>
        <v>0</v>
      </c>
      <c r="AS22" s="60">
        <f>IF(AQ22="",0,IF(AD22=0,0,IF((AQ22-AD22-'[1]М лист'!$D$16)&gt;0,ABS(AQ22-AD22-'[1]М лист'!$D$16),0)))</f>
        <v>0</v>
      </c>
      <c r="AT22" s="72"/>
      <c r="AU22" s="76">
        <f t="shared" si="3"/>
        <v>0.011805555555555656</v>
      </c>
      <c r="AV22" s="77">
        <f>J22+L22+N22+P22+Q22+R22+U22+W22+Y22+AA22+AC22+AH22+AI22+AN22+AO22+AP22+AR22+AT22</f>
        <v>0.013247685185185267</v>
      </c>
      <c r="AW22" s="62">
        <v>0.6784722222222223</v>
      </c>
      <c r="AX22" s="58">
        <v>0.6784722222222223</v>
      </c>
      <c r="AY22" s="78">
        <f>IF(AX22="","",IF(AX22="",0,IF(AX22=0,'[1]М лист'!$C$32,ABS(AX22-AW22))))</f>
        <v>0</v>
      </c>
      <c r="AZ22" s="60">
        <f t="shared" si="5"/>
        <v>0</v>
      </c>
      <c r="BA22" s="61"/>
      <c r="BB22" s="79">
        <v>0.0009837962962962964</v>
      </c>
      <c r="BC22" s="61"/>
      <c r="BD22" s="80"/>
      <c r="BE22" s="63">
        <v>0.0005358796296296295</v>
      </c>
      <c r="BF22" s="61"/>
      <c r="BG22" s="71">
        <v>0.7368055555555556</v>
      </c>
      <c r="BH22" s="78"/>
      <c r="BI22" s="60"/>
      <c r="BJ22" s="72"/>
      <c r="BK22" s="81">
        <f t="shared" si="6"/>
        <v>0</v>
      </c>
      <c r="BL22" s="82">
        <f t="shared" si="7"/>
        <v>0.001519675925925926</v>
      </c>
      <c r="BM22" s="82">
        <f t="shared" si="8"/>
        <v>0.014767361111111193</v>
      </c>
      <c r="BN22" s="87">
        <f t="shared" si="9"/>
        <v>0.013530092592592496</v>
      </c>
      <c r="BO22" s="88">
        <f t="shared" si="10"/>
        <v>0.0012685185185185594</v>
      </c>
      <c r="BP22" s="89">
        <v>18</v>
      </c>
      <c r="BQ22" s="86">
        <v>10</v>
      </c>
    </row>
    <row r="23" spans="1:69" ht="17.25" customHeight="1">
      <c r="A23" s="90">
        <v>18</v>
      </c>
      <c r="B23" s="55" t="s">
        <v>19</v>
      </c>
      <c r="C23" s="56" t="s">
        <v>20</v>
      </c>
      <c r="D23" s="56" t="s">
        <v>2</v>
      </c>
      <c r="E23" s="91" t="s">
        <v>18</v>
      </c>
      <c r="F23" s="57">
        <v>2500</v>
      </c>
      <c r="G23" s="57">
        <v>1966</v>
      </c>
      <c r="H23" s="58" t="s">
        <v>154</v>
      </c>
      <c r="I23" s="58" t="s">
        <v>154</v>
      </c>
      <c r="J23" s="59">
        <f>IF(I23="","",IF(I23=0,'[1]М лист'!$C$32,ABS(I23-H23)))</f>
        <v>0</v>
      </c>
      <c r="K23" s="60">
        <f t="shared" si="0"/>
        <v>0</v>
      </c>
      <c r="L23" s="61"/>
      <c r="M23" s="62">
        <v>0.5680555555555555</v>
      </c>
      <c r="N23" s="59">
        <f>IF(M23="","",IF(M23=0,'[1]М лист'!$C$32,IF(I23=0,0,ABS(M23-I23-'[1]М лист'!$D$10))))</f>
        <v>0.015972222222222176</v>
      </c>
      <c r="O23" s="60">
        <f>IF(M23="","",IF((M23-I23-'[1]М лист'!$D$10)&gt;0,ABS(M23-I23-'[1]М лист'!$D$10),0))</f>
        <v>0.015972222222222176</v>
      </c>
      <c r="P23" s="61"/>
      <c r="Q23" s="63">
        <v>0.00023842592592592597</v>
      </c>
      <c r="R23" s="61"/>
      <c r="S23" s="64">
        <v>0.5854166666666667</v>
      </c>
      <c r="T23" s="65">
        <f>IF(S23="",0,IF(S23=0,'[1]М лист'!$C$32,IF(M23=0,0,S23-M23)))</f>
        <v>0.01736111111111116</v>
      </c>
      <c r="U23" s="66">
        <f>IF(S23="",0,IF(S23=0,'[1]М лист'!$C$32,IF(T23="",0,IF(T23&lt;('[1]М лист'!$C$37-'[1]М лист'!$C$38),'[1]М лист'!$C$37-'[1]М лист'!$C$38-T23,0))))</f>
        <v>0</v>
      </c>
      <c r="V23" s="67">
        <v>0.5895833333333333</v>
      </c>
      <c r="W23" s="68">
        <f>IF(V23="",0,IF(V23="",0,IF(V23=0,'[1]М лист'!$C$32,IF(M23=0,0,ABS(V23-M23-'[1]М лист'!$D$12)))))</f>
        <v>3.122502256758253E-17</v>
      </c>
      <c r="X23" s="69">
        <f>IF(V23="",0,IF(M23=0,0,IF((V23-M23-'[1]М лист'!$D$12)&gt;0,ABS(V23-M23-'[1]М лист'!$D$12),0)))</f>
        <v>3.122502256758253E-17</v>
      </c>
      <c r="Y23" s="70"/>
      <c r="Z23" s="71">
        <v>0.6034722222222222</v>
      </c>
      <c r="AA23" s="59">
        <f>IF(Z23="",0,IF(Z23="",0,IF(Z23=0,'[1]М лист'!$C$32,IF(V23=0,0,ABS(Z23-V23-'[1]М лист'!$D$13)))))</f>
        <v>4.85722573273506E-17</v>
      </c>
      <c r="AB23" s="60">
        <f>IF(Z23="",0,IF(V23=0,0,IF((Z23-V23-'[1]М лист'!$D$13)&gt;0,ABS(Z23-V23-'[1]М лист'!$D$13),0)))</f>
        <v>0</v>
      </c>
      <c r="AC23" s="72"/>
      <c r="AD23" s="62">
        <v>0.611111111111111</v>
      </c>
      <c r="AE23" s="73">
        <v>0.6142824074074075</v>
      </c>
      <c r="AF23" s="65">
        <f t="shared" si="1"/>
        <v>0.003171296296296422</v>
      </c>
      <c r="AG23" s="74">
        <f>IF(AF23="","",IF(('[1]М лист'!$D$14-'[1]М лист'!$C$33-AF23)&gt;'[1]М лист'!C$36,'[1]М лист'!$C$36,IF(AF23&gt;('[1]М лист'!D$14+'[1]М лист'!$C$33),AF23-'[1]М лист'!D$14-'[1]М лист'!$C$33,IF(AF23&lt;('[1]М лист'!$D$14-'[1]М лист'!$C$33),'[1]М лист'!$D$14-'[1]М лист'!$C$33-AF23,0))))</f>
        <v>0</v>
      </c>
      <c r="AH23" s="74">
        <f>IF(AE23="","",IF(AG23&gt;'[1]М лист'!$C$36,'[1]М лист'!$C$36,AG23))</f>
        <v>0</v>
      </c>
      <c r="AI23" s="61"/>
      <c r="AJ23" s="62">
        <v>0.6215277777777778</v>
      </c>
      <c r="AK23" s="73">
        <v>0.6247453703703704</v>
      </c>
      <c r="AL23" s="65">
        <f t="shared" si="2"/>
        <v>0.0032175925925925775</v>
      </c>
      <c r="AM23" s="74">
        <f>IF(AL23="","",IF(AL23&gt;('[1]М лист'!$D$15+'[1]М лист'!$C$33),AL23-'[1]М лист'!$D$15-'[1]М лист'!$C$33,IF(AL23&lt;('[1]М лист'!$D$15-'[1]М лист'!$C$33),'[1]М лист'!$D$15-'[1]М лист'!$C$33-AL23,0)))</f>
        <v>0.0005439814814814667</v>
      </c>
      <c r="AN23" s="74">
        <f>IF(AK23="","",IF(AM23&gt;'[1]М лист'!$C$36,'[1]М лист'!$C$36,AM23))</f>
        <v>0.0005439814814814667</v>
      </c>
      <c r="AO23" s="61"/>
      <c r="AP23" s="75"/>
      <c r="AQ23" s="64">
        <v>0.64375</v>
      </c>
      <c r="AR23" s="59">
        <f>IF(AQ23="",0,IF(AQ23="",0,IF(AQ23=0,'[1]М лист'!$C$32,IF(AD23=0,0,IF((AQ23-AD23-'[1]М лист'!$D$16)&gt;0,AQ23-AD23-'[1]М лист'!$D$16,0)))))</f>
        <v>0</v>
      </c>
      <c r="AS23" s="60">
        <f>IF(AQ23="",0,IF(AD23=0,0,IF((AQ23-AD23-'[1]М лист'!$D$16)&gt;0,ABS(AQ23-AD23-'[1]М лист'!$D$16),0)))</f>
        <v>0</v>
      </c>
      <c r="AT23" s="72"/>
      <c r="AU23" s="76">
        <f t="shared" si="3"/>
        <v>0.015972222222222207</v>
      </c>
      <c r="AV23" s="77">
        <f>J23+L23+N23+P23+Q23+R23+U23+W23+Y23+AA23+AC23+AH23+AI23+AN23+AO23+AP23+AR23+AT23</f>
        <v>0.01675462962962965</v>
      </c>
      <c r="AW23" s="62">
        <v>0.6881944444444444</v>
      </c>
      <c r="AX23" s="58">
        <v>0.6881944444444444</v>
      </c>
      <c r="AY23" s="78">
        <f>IF(AX23="","",IF(AX23="",0,IF(AX23=0,'[1]М лист'!$C$32,ABS(AX23-AW23))))</f>
        <v>0</v>
      </c>
      <c r="AZ23" s="60">
        <f t="shared" si="5"/>
        <v>0</v>
      </c>
      <c r="BA23" s="61"/>
      <c r="BB23" s="79">
        <v>0.0010416666666666667</v>
      </c>
      <c r="BC23" s="61"/>
      <c r="BD23" s="80"/>
      <c r="BE23" s="63">
        <v>0.0003541666666666667</v>
      </c>
      <c r="BF23" s="61"/>
      <c r="BG23" s="71">
        <v>0.7416666666666667</v>
      </c>
      <c r="BH23" s="78">
        <f>IF(BG23="","",IF(BG23="",0,IF(BG23=0,'[1]М лист'!$C$32,IF(AX23=0,0,IF((BG23-AX23-'[1]М лист'!$D$23)&gt;0,BG23-AX23-'[1]М лист'!$D$23,0)))))</f>
        <v>0</v>
      </c>
      <c r="BI23" s="60">
        <f>IF(BG23="","",IF(AX23=0,0,IF((BG23-AX23-'[1]М лист'!$D$23)&gt;0,ABS(BG23-AX23-'[1]М лист'!$D$23),0)))</f>
        <v>0</v>
      </c>
      <c r="BJ23" s="72"/>
      <c r="BK23" s="81">
        <f t="shared" si="6"/>
        <v>0</v>
      </c>
      <c r="BL23" s="82">
        <f t="shared" si="7"/>
        <v>0.0013958333333333333</v>
      </c>
      <c r="BM23" s="82">
        <f t="shared" si="8"/>
        <v>0.018150462962962983</v>
      </c>
      <c r="BN23" s="87">
        <f t="shared" si="9"/>
        <v>0.016913194444444286</v>
      </c>
      <c r="BO23" s="88">
        <f t="shared" si="10"/>
        <v>0.00338310185185179</v>
      </c>
      <c r="BP23" s="85">
        <v>19</v>
      </c>
      <c r="BQ23" s="90">
        <v>18</v>
      </c>
    </row>
    <row r="24" spans="1:69" ht="17.25" customHeight="1">
      <c r="A24" s="90">
        <v>4</v>
      </c>
      <c r="B24" s="55" t="s">
        <v>6</v>
      </c>
      <c r="C24" s="56" t="s">
        <v>7</v>
      </c>
      <c r="D24" s="56" t="s">
        <v>2</v>
      </c>
      <c r="E24" s="56" t="s">
        <v>8</v>
      </c>
      <c r="F24" s="57">
        <v>4700</v>
      </c>
      <c r="G24" s="57">
        <v>1964</v>
      </c>
      <c r="H24" s="58" t="s">
        <v>155</v>
      </c>
      <c r="I24" s="58" t="s">
        <v>155</v>
      </c>
      <c r="J24" s="59">
        <f>IF(I24="","",IF(I24=0,'[1]М лист'!$C$32,ABS(I24-H24)))</f>
        <v>0</v>
      </c>
      <c r="K24" s="60">
        <f t="shared" si="0"/>
        <v>0</v>
      </c>
      <c r="L24" s="61"/>
      <c r="M24" s="62">
        <v>0.5326388888888889</v>
      </c>
      <c r="N24" s="59">
        <f>IF(M24="","",IF(M24=0,'[1]М лист'!$C$32,IF(I24=0,0,ABS(M24-I24-'[1]М лист'!$D$10))))</f>
        <v>1.0408340855860843E-17</v>
      </c>
      <c r="O24" s="60">
        <f>IF(M24="","",IF((M24-I24-'[1]М лист'!$D$10)&gt;0,ABS(M24-I24-'[1]М лист'!$D$10),0))</f>
        <v>1.0408340855860843E-17</v>
      </c>
      <c r="P24" s="61"/>
      <c r="Q24" s="63">
        <v>0.00048032407407407404</v>
      </c>
      <c r="R24" s="61"/>
      <c r="S24" s="64">
        <v>0.5506944444444445</v>
      </c>
      <c r="T24" s="65">
        <f>IF(S24="",0,IF(S24=0,'[1]М лист'!$C$32,IF(M24=0,0,S24-M24)))</f>
        <v>0.018055555555555602</v>
      </c>
      <c r="U24" s="66">
        <f>IF(S24="",0,IF(S24=0,'[1]М лист'!$C$32,IF(T24="",0,IF(T24&lt;('[1]М лист'!$C$37-'[1]М лист'!$C$38),'[1]М лист'!$C$37-'[1]М лист'!$C$38-T24,0))))</f>
        <v>0</v>
      </c>
      <c r="V24" s="67">
        <v>0.5548611111111111</v>
      </c>
      <c r="W24" s="68">
        <f>IF(V24="",0,IF(V24="",0,IF(V24=0,'[1]М лист'!$C$32,IF(M24=0,0,ABS(V24-M24-'[1]М лист'!$D$12)))))</f>
        <v>0.0006944444444444732</v>
      </c>
      <c r="X24" s="69">
        <f>IF(V24="",0,IF(M24=0,0,IF((V24-M24-'[1]М лист'!$D$12)&gt;0,ABS(V24-M24-'[1]М лист'!$D$12),0)))</f>
        <v>0.0006944444444444732</v>
      </c>
      <c r="Y24" s="70"/>
      <c r="Z24" s="71">
        <v>0.5854166666666667</v>
      </c>
      <c r="AA24" s="59">
        <f>IF(Z24="",0,IF(Z24="",0,IF(Z24=0,'[1]М лист'!$C$32,IF(V24=0,0,ABS(Z24-V24-'[1]М лист'!$D$13)))))</f>
        <v>0.01666666666666667</v>
      </c>
      <c r="AB24" s="60">
        <f>IF(Z24="",0,IF(V24=0,0,IF((Z24-V24-'[1]М лист'!$D$13)&gt;0,ABS(Z24-V24-'[1]М лист'!$D$13),0)))</f>
        <v>0.01666666666666667</v>
      </c>
      <c r="AC24" s="72"/>
      <c r="AD24" s="62">
        <v>0.5875</v>
      </c>
      <c r="AE24" s="73">
        <v>0.5904861111111112</v>
      </c>
      <c r="AF24" s="65">
        <f t="shared" si="1"/>
        <v>0.002986111111111134</v>
      </c>
      <c r="AG24" s="74">
        <f>IF(AF24="",0,IF(('[1]М лист'!$D$14-'[1]М лист'!$C$33-AF24)&gt;'[1]М лист'!C$36,'[1]М лист'!$C$36,IF(AF24&gt;('[1]М лист'!D$14+'[1]М лист'!$C$33),AF24-'[1]М лист'!D$14-'[1]М лист'!$C$33,IF(AF24&lt;('[1]М лист'!$D$14-'[1]М лист'!$C$33),'[1]М лист'!$D$14-'[1]М лист'!$C$33-AF24,0))))</f>
        <v>0.00017361111111108838</v>
      </c>
      <c r="AH24" s="74">
        <f>IF(AE24="",0,IF(AG24&gt;'[1]М лист'!$C$36,'[1]М лист'!$C$36,AG24))</f>
        <v>0.00017361111111108838</v>
      </c>
      <c r="AI24" s="61"/>
      <c r="AJ24" s="62">
        <v>0.5930555555555556</v>
      </c>
      <c r="AK24" s="73">
        <v>0.5957638888888889</v>
      </c>
      <c r="AL24" s="65">
        <f t="shared" si="2"/>
        <v>0.0027083333333333126</v>
      </c>
      <c r="AM24" s="74">
        <f>IF(AL24="",0,IF(AL24&gt;('[1]М лист'!$D$15+'[1]М лист'!$C$33),AL24-'[1]М лист'!$D$15-'[1]М лист'!$C$33,IF(AL24&lt;('[1]М лист'!$D$15-'[1]М лист'!$C$33),'[1]М лист'!$D$15-'[1]М лист'!$C$33-AL24,0)))</f>
        <v>3.472222222220185E-05</v>
      </c>
      <c r="AN24" s="74">
        <f>IF(AK24="","",IF(AM24&gt;'[1]М лист'!$C$36,'[1]М лист'!$C$36,AM24))</f>
        <v>3.472222222220185E-05</v>
      </c>
      <c r="AO24" s="61"/>
      <c r="AP24" s="75"/>
      <c r="AQ24" s="64">
        <v>0.6138888888888888</v>
      </c>
      <c r="AR24" s="59">
        <f>IF(AQ24="",0,IF(AQ24="",0,IF(AQ24=0,'[1]М лист'!$C$32,IF(AD24=0,0,IF((AQ24-AD24-'[1]М лист'!$D$16)&gt;0,AQ24-AD24-'[1]М лист'!$D$16,0)))))</f>
        <v>0</v>
      </c>
      <c r="AS24" s="60">
        <f>IF(AQ24="",0,IF(AD24=0,0,IF((AQ24-AD24-'[1]М лист'!$D$16)&gt;0,ABS(AQ24-AD24-'[1]М лист'!$D$16),0)))</f>
        <v>0</v>
      </c>
      <c r="AT24" s="72">
        <v>3.472222222222222E-05</v>
      </c>
      <c r="AU24" s="76">
        <f t="shared" si="3"/>
        <v>0.017361111111111154</v>
      </c>
      <c r="AV24" s="77">
        <f>J24+L24+N24+P24+Q24+R24+U24+W24+Y24+AA24+AC24+AH24+AI24+AN24+AO24+AP24+AR24+AT24</f>
        <v>0.01808449074074074</v>
      </c>
      <c r="AW24" s="62">
        <v>0.6701388888888888</v>
      </c>
      <c r="AX24" s="58">
        <v>0.6701388888888888</v>
      </c>
      <c r="AY24" s="78">
        <f>IF(AX24="","",IF(AX24="",0,IF(AX24=0,'[1]М лист'!$C$32,ABS(AX24-AW24))))</f>
        <v>0</v>
      </c>
      <c r="AZ24" s="60">
        <f t="shared" si="5"/>
        <v>0</v>
      </c>
      <c r="BA24" s="61"/>
      <c r="BB24" s="79">
        <v>0.0006944444444444445</v>
      </c>
      <c r="BC24" s="61"/>
      <c r="BD24" s="80"/>
      <c r="BE24" s="63">
        <v>0.00042824074074074075</v>
      </c>
      <c r="BF24" s="61"/>
      <c r="BG24" s="71">
        <v>0.7256944444444445</v>
      </c>
      <c r="BH24" s="78"/>
      <c r="BI24" s="60"/>
      <c r="BJ24" s="72"/>
      <c r="BK24" s="81">
        <f t="shared" si="6"/>
        <v>0</v>
      </c>
      <c r="BL24" s="82">
        <f t="shared" si="7"/>
        <v>0.0011226851851851853</v>
      </c>
      <c r="BM24" s="82">
        <f t="shared" si="8"/>
        <v>0.019207175925925926</v>
      </c>
      <c r="BN24" s="87">
        <f t="shared" si="9"/>
        <v>0.01796990740740723</v>
      </c>
      <c r="BO24" s="88">
        <f t="shared" si="10"/>
        <v>0.0010567129629629433</v>
      </c>
      <c r="BP24" s="89">
        <v>20</v>
      </c>
      <c r="BQ24" s="90">
        <v>4</v>
      </c>
    </row>
    <row r="25" spans="1:69" ht="17.25" customHeight="1">
      <c r="A25" s="96">
        <v>20</v>
      </c>
      <c r="B25" s="55" t="s">
        <v>21</v>
      </c>
      <c r="C25" s="56" t="s">
        <v>22</v>
      </c>
      <c r="D25" s="56" t="s">
        <v>23</v>
      </c>
      <c r="E25" s="56" t="s">
        <v>24</v>
      </c>
      <c r="F25" s="57">
        <v>2400</v>
      </c>
      <c r="G25" s="57">
        <v>1955</v>
      </c>
      <c r="H25" s="58" t="s">
        <v>156</v>
      </c>
      <c r="I25" s="58" t="s">
        <v>156</v>
      </c>
      <c r="J25" s="59">
        <f>IF(I25="","",IF(I25=0,'[1]М лист'!$C$32,ABS(I25-H25)))</f>
        <v>0</v>
      </c>
      <c r="K25" s="60">
        <f t="shared" si="0"/>
        <v>0</v>
      </c>
      <c r="L25" s="61"/>
      <c r="M25" s="62">
        <v>0.55625</v>
      </c>
      <c r="N25" s="59">
        <f>IF(M25="","",IF(M25=0,'[1]М лист'!$C$32,IF(I25=0,0,ABS(M25-I25-'[1]М лист'!$D$10))))</f>
        <v>0.0013888888888888944</v>
      </c>
      <c r="O25" s="60">
        <f>IF(M25="","",IF((M25-I25-'[1]М лист'!$D$10)&gt;0,ABS(M25-I25-'[1]М лист'!$D$10),0))</f>
        <v>0.0013888888888888944</v>
      </c>
      <c r="P25" s="61"/>
      <c r="Q25" s="63">
        <v>0.00025925925925925926</v>
      </c>
      <c r="R25" s="61"/>
      <c r="S25" s="64">
        <v>0.5777777777777778</v>
      </c>
      <c r="T25" s="65">
        <f>IF(S25="",0,IF(S25=0,'[1]М лист'!$C$32,IF(M25=0,0,S25-M25)))</f>
        <v>0.021527777777777812</v>
      </c>
      <c r="U25" s="66">
        <f>IF(S25="",0,IF(S25=0,'[1]М лист'!$C$32,IF(T25="",0,IF(T25&lt;('[1]М лист'!$C$37-'[1]М лист'!$C$38),'[1]М лист'!$C$37-'[1]М лист'!$C$38-T25,0))))</f>
        <v>0</v>
      </c>
      <c r="V25" s="67">
        <v>0.5826388888888888</v>
      </c>
      <c r="W25" s="68">
        <f>IF(V25="",0,IF(V25="",0,IF(V25=0,'[1]М лист'!$C$32,IF(M25=0,0,ABS(V25-M25-'[1]М лист'!$D$12)))))</f>
        <v>0.004861111111111014</v>
      </c>
      <c r="X25" s="69">
        <f>IF(V25="",0,IF(M25=0,0,IF((V25-M25-'[1]М лист'!$D$12)&gt;0,ABS(V25-M25-'[1]М лист'!$D$12),0)))</f>
        <v>0.004861111111111014</v>
      </c>
      <c r="Y25" s="70"/>
      <c r="Z25" s="71">
        <v>0.5972222222222222</v>
      </c>
      <c r="AA25" s="59">
        <f>IF(Z25="",0,IF(Z25="",0,IF(Z25=0,'[1]М лист'!$C$32,IF(V25=0,0,ABS(Z25-V25-'[1]М лист'!$D$13)))))</f>
        <v>0.0006944444444445044</v>
      </c>
      <c r="AB25" s="60">
        <f>IF(Z25="",0,IF(V25=0,0,IF((Z25-V25-'[1]М лист'!$D$13)&gt;0,ABS(Z25-V25-'[1]М лист'!$D$13),0)))</f>
        <v>0.0006944444444445044</v>
      </c>
      <c r="AC25" s="72"/>
      <c r="AD25" s="62">
        <v>0.6013888888888889</v>
      </c>
      <c r="AE25" s="73">
        <v>0.6075115740740741</v>
      </c>
      <c r="AF25" s="65">
        <f t="shared" si="1"/>
        <v>0.006122685185185217</v>
      </c>
      <c r="AG25" s="74">
        <f>IF(AF25="","",IF(('[1]М лист'!$D$14-'[1]М лист'!$C$33-AF25)&gt;'[1]М лист'!C$36,'[1]М лист'!$C$36,IF(AF25&gt;('[1]М лист'!D$14+'[1]М лист'!$C$33),AF25-'[1]М лист'!D$14-'[1]М лист'!$C$33,IF(AF25&lt;('[1]М лист'!$D$14-'[1]М лист'!$C$33),'[1]М лист'!$D$14-'[1]М лист'!$C$33-AF25,0))))</f>
        <v>0.002893518518518551</v>
      </c>
      <c r="AH25" s="74">
        <f>IF(AE25="","",IF(AG25&gt;'[1]М лист'!$C$36,'[1]М лист'!$C$36,AG25))</f>
        <v>0.002893518518518551</v>
      </c>
      <c r="AI25" s="61"/>
      <c r="AJ25" s="62">
        <v>0.6131944444444445</v>
      </c>
      <c r="AK25" s="73">
        <v>0.6159375</v>
      </c>
      <c r="AL25" s="65">
        <f t="shared" si="2"/>
        <v>0.0027430555555555403</v>
      </c>
      <c r="AM25" s="74">
        <f>IF(AL25="","",IF(AL25&gt;('[1]М лист'!$D$15+'[1]М лист'!$C$33),AL25-'[1]М лист'!$D$15-'[1]М лист'!$C$33,IF(AL25&lt;('[1]М лист'!$D$15-'[1]М лист'!$C$33),'[1]М лист'!$D$15-'[1]М лист'!$C$33-AL25,0)))</f>
        <v>6.94444444444295E-05</v>
      </c>
      <c r="AN25" s="74">
        <f>IF(AK25="","",IF(AM25&gt;'[1]М лист'!$C$36,'[1]М лист'!$C$36,AM25))</f>
        <v>6.94444444444295E-05</v>
      </c>
      <c r="AO25" s="61"/>
      <c r="AP25" s="75">
        <v>0.006944444444444444</v>
      </c>
      <c r="AQ25" s="64">
        <v>0.6416666666666667</v>
      </c>
      <c r="AR25" s="59">
        <v>0.002777777777777778</v>
      </c>
      <c r="AS25" s="60">
        <v>0.002777777777777778</v>
      </c>
      <c r="AT25" s="72"/>
      <c r="AU25" s="76">
        <f t="shared" si="3"/>
        <v>0.009722222222222191</v>
      </c>
      <c r="AV25" s="77">
        <f>J25+L25+N25+P25+Q26+R25+U25+W25+Y25+AA25+AC25+AH25+AI25+AN25+AO25+AP25+AR25+AT25</f>
        <v>0.01994907407407406</v>
      </c>
      <c r="AW25" s="62">
        <v>0.6909722222222222</v>
      </c>
      <c r="AX25" s="58">
        <v>0.6909722222222222</v>
      </c>
      <c r="AY25" s="78">
        <f>IF(AX25="","",IF(AX25="",0,IF(AX25=0,'[1]М лист'!$C$32,ABS(AX25-AW25))))</f>
        <v>0</v>
      </c>
      <c r="AZ25" s="60">
        <f t="shared" si="5"/>
        <v>0</v>
      </c>
      <c r="BA25" s="61"/>
      <c r="BB25" s="79">
        <v>0.0007523148148148147</v>
      </c>
      <c r="BC25" s="61"/>
      <c r="BD25" s="80"/>
      <c r="BE25" s="63">
        <v>0.0004120370370370371</v>
      </c>
      <c r="BF25" s="61">
        <v>5.7870370370370366E-05</v>
      </c>
      <c r="BG25" s="71">
        <v>0.7451388888888889</v>
      </c>
      <c r="BH25" s="78">
        <f>IF(BG25="","",IF(BG25="",0,IF(BG25=0,'[1]М лист'!$C$32,IF(AX25=0,0,IF((BG25-AX25-'[1]М лист'!$D$23)&gt;0,BG25-AX25-'[1]М лист'!$D$23,0)))))</f>
        <v>0</v>
      </c>
      <c r="BI25" s="60">
        <f>IF(BG25="","",IF(AX25=0,0,IF((BG25-AX25-'[1]М лист'!$D$23)&gt;0,ABS(BG25-AX25-'[1]М лист'!$D$23),0)))</f>
        <v>0</v>
      </c>
      <c r="BJ25" s="72"/>
      <c r="BK25" s="81">
        <f t="shared" si="6"/>
        <v>0</v>
      </c>
      <c r="BL25" s="82">
        <f t="shared" si="7"/>
        <v>0.0012222222222222222</v>
      </c>
      <c r="BM25" s="82">
        <f t="shared" si="8"/>
        <v>0.021171296296296282</v>
      </c>
      <c r="BN25" s="87">
        <f t="shared" si="9"/>
        <v>0.019934027777777585</v>
      </c>
      <c r="BO25" s="88">
        <f t="shared" si="10"/>
        <v>0.0019641203703703557</v>
      </c>
      <c r="BP25" s="85">
        <v>21</v>
      </c>
      <c r="BQ25" s="96">
        <v>20</v>
      </c>
    </row>
    <row r="26" spans="1:69" ht="17.25" customHeight="1">
      <c r="A26" s="86">
        <v>11</v>
      </c>
      <c r="B26" s="55" t="s">
        <v>83</v>
      </c>
      <c r="C26" s="56" t="s">
        <v>84</v>
      </c>
      <c r="D26" s="56" t="s">
        <v>85</v>
      </c>
      <c r="E26" s="56" t="s">
        <v>86</v>
      </c>
      <c r="F26" s="57">
        <v>2100</v>
      </c>
      <c r="G26" s="57">
        <v>1957</v>
      </c>
      <c r="H26" s="58" t="s">
        <v>157</v>
      </c>
      <c r="I26" s="58" t="s">
        <v>157</v>
      </c>
      <c r="J26" s="59">
        <f>IF(I26="","",IF(I26=0,'[1]М лист'!$C$32,ABS(I26-H26)))</f>
        <v>0</v>
      </c>
      <c r="K26" s="60">
        <f t="shared" si="0"/>
        <v>0</v>
      </c>
      <c r="L26" s="61"/>
      <c r="M26" s="62">
        <v>0.5416666666666666</v>
      </c>
      <c r="N26" s="59">
        <f>IF(M26="","",IF(M26=0,'[1]М лист'!$C$32,IF(I26=0,0,ABS(M26-I26-'[1]М лист'!$D$10))))</f>
        <v>0.0006944444444444316</v>
      </c>
      <c r="O26" s="60">
        <f>IF(M26="","",IF((M26-I26-'[1]М лист'!$D$10)&gt;0,ABS(M26-I26-'[1]М лист'!$D$10),0))</f>
        <v>0</v>
      </c>
      <c r="P26" s="61"/>
      <c r="Q26" s="63">
        <v>0.00031944444444444446</v>
      </c>
      <c r="R26" s="61"/>
      <c r="S26" s="64">
        <v>0.5791666666666667</v>
      </c>
      <c r="T26" s="65">
        <f>IF(S26="",0,IF(S26=0,'[1]М лист'!$C$32,IF(M26=0,0,S26-M26)))</f>
        <v>0.03750000000000009</v>
      </c>
      <c r="U26" s="66">
        <f>IF(S26="",0,IF(S26=0,'[1]М лист'!$C$32,IF(T26="",0,IF(T26&lt;('[1]М лист'!$C$37-'[1]М лист'!$C$38),'[1]М лист'!$C$37-'[1]М лист'!$C$38-T26,0))))</f>
        <v>0</v>
      </c>
      <c r="V26" s="67">
        <v>0.5833333333333334</v>
      </c>
      <c r="W26" s="68">
        <f>IF(V26="",0,IF(V26="",0,IF(V26=0,'[1]М лист'!$C$32,IF(M26=0,0,ABS(V26-M26-'[1]М лист'!$D$12)))))</f>
        <v>0.02013888888888896</v>
      </c>
      <c r="X26" s="69">
        <f>IF(V26="",0,IF(M26=0,0,IF((V26-M26-'[1]М лист'!$D$12)&gt;0,ABS(V26-M26-'[1]М лист'!$D$12),0)))</f>
        <v>0.02013888888888896</v>
      </c>
      <c r="Y26" s="70"/>
      <c r="Z26" s="71">
        <v>0.5979166666666667</v>
      </c>
      <c r="AA26" s="59">
        <f>IF(Z26="",0,IF(Z26="",0,IF(Z26=0,'[1]М лист'!$C$32,IF(V26=0,0,ABS(Z26-V26-'[1]М лист'!$D$13)))))</f>
        <v>0.0006944444444443934</v>
      </c>
      <c r="AB26" s="60">
        <f>IF(Z26="",0,IF(V26=0,0,IF((Z26-V26-'[1]М лист'!$D$13)&gt;0,ABS(Z26-V26-'[1]М лист'!$D$13),0)))</f>
        <v>0.0006944444444443934</v>
      </c>
      <c r="AC26" s="72"/>
      <c r="AD26" s="62">
        <v>0.6041666666666666</v>
      </c>
      <c r="AE26" s="73">
        <v>0.6074305555555556</v>
      </c>
      <c r="AF26" s="65">
        <f t="shared" si="1"/>
        <v>0.003263888888888955</v>
      </c>
      <c r="AG26" s="74">
        <f>IF(AF26="","",IF(('[1]М лист'!$D$14-'[1]М лист'!$C$33-AF26)&gt;'[1]М лист'!C$36,'[1]М лист'!$C$36,IF(AF26&gt;('[1]М лист'!D$14+'[1]М лист'!$C$33),AF26-'[1]М лист'!D$14-'[1]М лист'!$C$33,IF(AF26&lt;('[1]М лист'!$D$14-'[1]М лист'!$C$33),'[1]М лист'!$D$14-'[1]М лист'!$C$33-AF26,0))))</f>
        <v>3.472222222228859E-05</v>
      </c>
      <c r="AH26" s="74">
        <f>IF(AE26="","",IF(AG26&gt;'[1]М лист'!$C$36,'[1]М лист'!$C$36,AG26))</f>
        <v>3.472222222228859E-05</v>
      </c>
      <c r="AI26" s="61"/>
      <c r="AJ26" s="62">
        <v>0.6118055555555556</v>
      </c>
      <c r="AK26" s="73">
        <v>0.6146875</v>
      </c>
      <c r="AL26" s="65">
        <f t="shared" si="2"/>
        <v>0.002881944444444451</v>
      </c>
      <c r="AM26" s="74">
        <f>IF(AL26="","",IF(AL26&gt;('[1]М лист'!$D$15+'[1]М лист'!$C$33),AL26-'[1]М лист'!$D$15-'[1]М лист'!$C$33,IF(AL26&lt;('[1]М лист'!$D$15-'[1]М лист'!$C$33),'[1]М лист'!$D$15-'[1]М лист'!$C$33-AL26,0)))</f>
        <v>0.0002083333333333401</v>
      </c>
      <c r="AN26" s="74">
        <f>IF(AK26="","",IF(AM26&gt;'[1]М лист'!$C$36,'[1]М лист'!$C$36,AM26))</f>
        <v>0.0002083333333333401</v>
      </c>
      <c r="AO26" s="61"/>
      <c r="AP26" s="75"/>
      <c r="AQ26" s="64">
        <v>0.6486111111111111</v>
      </c>
      <c r="AR26" s="59">
        <f>IF(AQ26="",0,IF(AQ26="",0,IF(AQ26=0,'[1]М лист'!$C$32,IF(AD26=0,0,IF((AQ26-AD26-'[1]М лист'!$D$16)&gt;0,AQ26-AD26-'[1]М лист'!$D$16,0)))))</f>
        <v>0.009722222222222285</v>
      </c>
      <c r="AS26" s="60"/>
      <c r="AT26" s="72"/>
      <c r="AU26" s="76">
        <f t="shared" si="3"/>
        <v>0.020833333333333353</v>
      </c>
      <c r="AV26" s="77">
        <f aca="true" t="shared" si="11" ref="AV26:AV32">J26+L26+N26+P26+Q26+R26+U26+W26+Y26+AA26+AC26+AH26+AI26+AN26+AO26+AP26+AR26+AT26</f>
        <v>0.031812500000000146</v>
      </c>
      <c r="AW26" s="62">
        <v>0.6798611111111111</v>
      </c>
      <c r="AX26" s="58">
        <v>0.6854166666666667</v>
      </c>
      <c r="AY26" s="78">
        <f>IF(AX26="","",IF(AX26="",0,IF(AX26=0,'[1]М лист'!$C$32,ABS(AX26-AW26))))</f>
        <v>0.005555555555555536</v>
      </c>
      <c r="AZ26" s="60">
        <f t="shared" si="5"/>
        <v>0.005555555555555536</v>
      </c>
      <c r="BA26" s="61"/>
      <c r="BB26" s="79">
        <v>0.001099537037037037</v>
      </c>
      <c r="BC26" s="61"/>
      <c r="BD26" s="80"/>
      <c r="BE26" s="63">
        <v>0.0011516203703703703</v>
      </c>
      <c r="BF26" s="61"/>
      <c r="BG26" s="71">
        <v>0.7423611111111111</v>
      </c>
      <c r="BH26" s="78"/>
      <c r="BI26" s="60"/>
      <c r="BJ26" s="72"/>
      <c r="BK26" s="81">
        <f t="shared" si="6"/>
        <v>0.005555555555555536</v>
      </c>
      <c r="BL26" s="82">
        <f t="shared" si="7"/>
        <v>0.007806712962962943</v>
      </c>
      <c r="BM26" s="82">
        <f t="shared" si="8"/>
        <v>0.03961921296296309</v>
      </c>
      <c r="BN26" s="87">
        <f t="shared" si="9"/>
        <v>0.03838194444444439</v>
      </c>
      <c r="BO26" s="88">
        <f t="shared" si="10"/>
        <v>0.01844791666666681</v>
      </c>
      <c r="BP26" s="89">
        <v>22</v>
      </c>
      <c r="BQ26" s="86">
        <v>11</v>
      </c>
    </row>
    <row r="27" spans="1:69" ht="17.25" customHeight="1">
      <c r="A27" s="90">
        <v>15</v>
      </c>
      <c r="B27" s="55" t="s">
        <v>16</v>
      </c>
      <c r="C27" s="56" t="s">
        <v>17</v>
      </c>
      <c r="D27" s="56" t="s">
        <v>2</v>
      </c>
      <c r="E27" s="56" t="s">
        <v>18</v>
      </c>
      <c r="F27" s="57">
        <v>2445</v>
      </c>
      <c r="G27" s="57">
        <v>1963</v>
      </c>
      <c r="H27" s="58" t="s">
        <v>158</v>
      </c>
      <c r="I27" s="58" t="s">
        <v>158</v>
      </c>
      <c r="J27" s="59">
        <f>IF(I27="","",IF(I27=0,'[1]М лист'!$C$32,ABS(I27-H27)))</f>
        <v>0</v>
      </c>
      <c r="K27" s="60">
        <f t="shared" si="0"/>
        <v>0</v>
      </c>
      <c r="L27" s="61"/>
      <c r="M27" s="62">
        <v>0.5444444444444444</v>
      </c>
      <c r="N27" s="59">
        <f>IF(M27="","",IF(M27=0,'[1]М лист'!$C$32,IF(I27=0,0,ABS(M27-I27-'[1]М лист'!$D$10))))</f>
        <v>0.0034722222222221995</v>
      </c>
      <c r="O27" s="60">
        <f>IF(M27="","",IF((M27-I27-'[1]М лист'!$D$10)&gt;0,ABS(M27-I27-'[1]М лист'!$D$10),0))</f>
        <v>0</v>
      </c>
      <c r="P27" s="61"/>
      <c r="Q27" s="63">
        <v>0.00023148148148148146</v>
      </c>
      <c r="R27" s="61"/>
      <c r="S27" s="64">
        <v>0.5708333333333333</v>
      </c>
      <c r="T27" s="65">
        <f>IF(S27="",0,IF(S27=0,'[1]М лист'!$C$32,IF(M27=0,0,S27-M27)))</f>
        <v>0.026388888888888906</v>
      </c>
      <c r="U27" s="66">
        <f>IF(S27="",0,IF(S27=0,'[1]М лист'!$C$32,IF(T27="",0,IF(T27&lt;('[1]М лист'!$C$37-'[1]М лист'!$C$38),'[1]М лист'!$C$37-'[1]М лист'!$C$38-T27,0))))</f>
        <v>0</v>
      </c>
      <c r="V27" s="67">
        <v>0.5791666666666667</v>
      </c>
      <c r="W27" s="68">
        <f>IF(V27="",0,IF(V27="",0,IF(V27=0,'[1]М лист'!$C$32,IF(M27=0,0,ABS(V27-M27-'[1]М лист'!$D$12)))))</f>
        <v>0.01319444444444454</v>
      </c>
      <c r="X27" s="69">
        <f>IF(V27="",0,IF(M27=0,0,IF((V27-M27-'[1]М лист'!$D$12)&gt;0,ABS(V27-M27-'[1]М лист'!$D$12),0)))</f>
        <v>0.01319444444444454</v>
      </c>
      <c r="Y27" s="70"/>
      <c r="Z27" s="71">
        <v>0.5944444444444444</v>
      </c>
      <c r="AA27" s="59">
        <f>IF(Z27="",0,IF(Z27="",0,IF(Z27=0,'[1]М лист'!$C$32,IF(V27=0,0,ABS(Z27-V27-'[1]М лист'!$D$13)))))</f>
        <v>0.0013888888888888354</v>
      </c>
      <c r="AB27" s="60">
        <f>IF(Z27="",0,IF(V27=0,0,IF((Z27-V27-'[1]М лист'!$D$13)&gt;0,ABS(Z27-V27-'[1]М лист'!$D$13),0)))</f>
        <v>0.0013888888888888354</v>
      </c>
      <c r="AC27" s="72"/>
      <c r="AD27" s="62">
        <v>0.5965277777777778</v>
      </c>
      <c r="AE27" s="73">
        <v>0.5998842592592593</v>
      </c>
      <c r="AF27" s="65">
        <f t="shared" si="1"/>
        <v>0.003356481481481488</v>
      </c>
      <c r="AG27" s="74">
        <f>IF(AF27="","",IF(('[1]М лист'!$D$14-'[1]М лист'!$C$33-AF27)&gt;'[1]М лист'!C$36,'[1]М лист'!$C$36,IF(AF27&gt;('[1]М лист'!D$14+'[1]М лист'!$C$33),AF27-'[1]М лист'!D$14-'[1]М лист'!$C$33,IF(AF27&lt;('[1]М лист'!$D$14-'[1]М лист'!$C$33),'[1]М лист'!$D$14-'[1]М лист'!$C$33-AF27,0))))</f>
        <v>0.00012731481481482163</v>
      </c>
      <c r="AH27" s="74">
        <f>IF(AE27="","",IF(AG27&gt;'[1]М лист'!$C$36,'[1]М лист'!$C$36,AG27))</f>
        <v>0.00012731481481482163</v>
      </c>
      <c r="AI27" s="61"/>
      <c r="AJ27" s="62">
        <v>0.6027777777777777</v>
      </c>
      <c r="AK27" s="73">
        <v>0.6058333333333333</v>
      </c>
      <c r="AL27" s="65">
        <f t="shared" si="2"/>
        <v>0.003055555555555589</v>
      </c>
      <c r="AM27" s="74">
        <f>IF(AL27="","",IF(AL27&gt;('[1]М лист'!$D$15+'[1]М лист'!$C$33),AL27-'[1]М лист'!$D$15-'[1]М лист'!$C$33,IF(AL27&lt;('[1]М лист'!$D$15-'[1]М лист'!$C$33),'[1]М лист'!$D$15-'[1]М лист'!$C$33-AL27,0)))</f>
        <v>0.00038194444444447835</v>
      </c>
      <c r="AN27" s="74">
        <f>IF(AK27="","",IF(AM27&gt;'[1]М лист'!$C$36,'[1]М лист'!$C$36,AM27))</f>
        <v>0.00038194444444447835</v>
      </c>
      <c r="AO27" s="61"/>
      <c r="AP27" s="75"/>
      <c r="AQ27" s="64">
        <v>0.6527777777777778</v>
      </c>
      <c r="AR27" s="59">
        <f>IF(AQ27="",0,IF(AQ27="",0,IF(AQ27=0,'[1]М лист'!$C$32,IF(AD27=0,0,IF((AQ27-AD27-'[1]М лист'!$D$16)&gt;0,AQ27-AD27-'[1]М лист'!$D$16,0)))))</f>
        <v>0.0215277777777778</v>
      </c>
      <c r="AS27" s="60">
        <f>IF(AQ27="",0,IF(AD27=0,0,IF((AQ27-AD27-'[1]М лист'!$D$16)&gt;0,ABS(AQ27-AD27-'[1]М лист'!$D$16),0)))</f>
        <v>0.0215277777777778</v>
      </c>
      <c r="AT27" s="72"/>
      <c r="AU27" s="76">
        <f t="shared" si="3"/>
        <v>0.03611111111111118</v>
      </c>
      <c r="AV27" s="77">
        <f t="shared" si="11"/>
        <v>0.04032407407407416</v>
      </c>
      <c r="AW27" s="62">
        <v>0.6840277777777778</v>
      </c>
      <c r="AX27" s="58">
        <v>0.6840277777777778</v>
      </c>
      <c r="AY27" s="78">
        <f>IF(AX27="","",IF(AX27="",0,IF(AX27=0,'[1]М лист'!$C$32,ABS(AX27-AW27))))</f>
        <v>0</v>
      </c>
      <c r="AZ27" s="60">
        <f t="shared" si="5"/>
        <v>0</v>
      </c>
      <c r="BA27" s="61"/>
      <c r="BB27" s="79">
        <v>0.0009259259259259259</v>
      </c>
      <c r="BC27" s="61"/>
      <c r="BD27" s="80"/>
      <c r="BE27" s="63">
        <v>0.0006076388888888889</v>
      </c>
      <c r="BF27" s="61"/>
      <c r="BG27" s="71">
        <v>0.7430555555555555</v>
      </c>
      <c r="BH27" s="78"/>
      <c r="BI27" s="60"/>
      <c r="BJ27" s="72"/>
      <c r="BK27" s="81">
        <f t="shared" si="6"/>
        <v>0</v>
      </c>
      <c r="BL27" s="82">
        <f t="shared" si="7"/>
        <v>0.0015335648148148149</v>
      </c>
      <c r="BM27" s="82">
        <f t="shared" si="8"/>
        <v>0.04185763888888897</v>
      </c>
      <c r="BN27" s="87">
        <f t="shared" si="9"/>
        <v>0.04062037037037027</v>
      </c>
      <c r="BO27" s="88">
        <f t="shared" si="10"/>
        <v>0.00223842592592588</v>
      </c>
      <c r="BP27" s="85">
        <v>23</v>
      </c>
      <c r="BQ27" s="90">
        <v>15</v>
      </c>
    </row>
    <row r="28" spans="1:69" ht="17.25" customHeight="1" thickBot="1">
      <c r="A28" s="90">
        <v>14</v>
      </c>
      <c r="B28" s="55" t="s">
        <v>13</v>
      </c>
      <c r="C28" s="56" t="s">
        <v>14</v>
      </c>
      <c r="D28" s="56" t="s">
        <v>2</v>
      </c>
      <c r="E28" s="56" t="s">
        <v>15</v>
      </c>
      <c r="F28" s="57">
        <v>2300</v>
      </c>
      <c r="G28" s="57">
        <v>1971</v>
      </c>
      <c r="H28" s="58" t="s">
        <v>159</v>
      </c>
      <c r="I28" s="58" t="s">
        <v>159</v>
      </c>
      <c r="J28" s="59">
        <f>IF(I28="","",IF(I28=0,'[1]М лист'!$C$32,ABS(I28-H28)))</f>
        <v>0</v>
      </c>
      <c r="K28" s="60">
        <f t="shared" si="0"/>
        <v>0</v>
      </c>
      <c r="L28" s="61"/>
      <c r="M28" s="62">
        <v>0.54375</v>
      </c>
      <c r="N28" s="59">
        <f>IF(M28="","",IF(M28=0,'[1]М лист'!$C$32,IF(I28=0,0,ABS(M28-I28-'[1]М лист'!$D$10))))</f>
        <v>0.0027777777777777575</v>
      </c>
      <c r="O28" s="60">
        <f>IF(M28="","",IF((M28-I28-'[1]М лист'!$D$10)&gt;0,ABS(M28-I28-'[1]М лист'!$D$10),0))</f>
        <v>0</v>
      </c>
      <c r="P28" s="61"/>
      <c r="Q28" s="63">
        <v>0.00018171296296296295</v>
      </c>
      <c r="R28" s="61">
        <v>5.7870370370370366E-05</v>
      </c>
      <c r="S28" s="64">
        <v>0.6236111111111111</v>
      </c>
      <c r="T28" s="65">
        <f>IF(S28="",0,IF(S28=0,'[1]М лист'!$C$32,IF(M28=0,0,S28-M28)))</f>
        <v>0.07986111111111116</v>
      </c>
      <c r="U28" s="66">
        <f>IF(S28="",0,IF(S28=0,'[1]М лист'!$C$32,IF(T28="",0,IF(T28&lt;('[1]М лист'!$C$37-'[1]М лист'!$C$38),'[1]М лист'!$C$37-'[1]М лист'!$C$38-T28,0))))</f>
        <v>0</v>
      </c>
      <c r="V28" s="67">
        <v>0.5861111111111111</v>
      </c>
      <c r="W28" s="68">
        <v>0.02013888888888889</v>
      </c>
      <c r="X28" s="68">
        <v>0.02013888888888889</v>
      </c>
      <c r="Y28" s="70"/>
      <c r="Z28" s="71">
        <v>0.5979166666666667</v>
      </c>
      <c r="AA28" s="59">
        <f>IF(Z28="",0,IF(Z28="",0,IF(Z28=0,'[1]М лист'!$C$32,IF(V28=0,0,ABS(Z28-V28-'[1]М лист'!$D$13)))))</f>
        <v>0.0020833333333333745</v>
      </c>
      <c r="AB28" s="60">
        <f>IF(Z28="",0,IF(V28=0,0,IF((Z28-V28-'[1]М лист'!$D$13)&gt;0,ABS(Z28-V28-'[1]М лист'!$D$13),0)))</f>
        <v>0</v>
      </c>
      <c r="AC28" s="72"/>
      <c r="AD28" s="62">
        <v>0.6027777777777777</v>
      </c>
      <c r="AE28" s="73">
        <v>0.6062962962962963</v>
      </c>
      <c r="AF28" s="65">
        <f t="shared" si="1"/>
        <v>0.0035185185185185874</v>
      </c>
      <c r="AG28" s="74">
        <f>IF(AF28="","",IF(('[1]М лист'!$D$14-'[1]М лист'!$C$33-AF28)&gt;'[1]М лист'!C$36,'[1]М лист'!$C$36,IF(AF28&gt;('[1]М лист'!D$14+'[1]М лист'!$C$33),AF28-'[1]М лист'!D$14-'[1]М лист'!$C$33,IF(AF28&lt;('[1]М лист'!$D$14-'[1]М лист'!$C$33),'[1]М лист'!$D$14-'[1]М лист'!$C$33-AF28,0))))</f>
        <v>0.000289351851851921</v>
      </c>
      <c r="AH28" s="74">
        <f>IF(AE28="","",IF(AG28&gt;'[1]М лист'!$C$36,'[1]М лист'!$C$36,AG28))</f>
        <v>0.000289351851851921</v>
      </c>
      <c r="AI28" s="61"/>
      <c r="AJ28" s="62">
        <v>0.6104166666666667</v>
      </c>
      <c r="AK28" s="73">
        <v>0.6124652777777778</v>
      </c>
      <c r="AL28" s="65">
        <f t="shared" si="2"/>
        <v>0.0020486111111110983</v>
      </c>
      <c r="AM28" s="74">
        <f>IF(AL28="","",IF(AL28&gt;('[1]М лист'!$D$15+'[1]М лист'!$C$33),AL28-'[1]М лист'!$D$15-'[1]М лист'!$C$33,IF(AL28&lt;('[1]М лист'!$D$15-'[1]М лист'!$C$33),'[1]М лист'!$D$15-'[1]М лист'!$C$33-AL28,0)))</f>
        <v>0.0005555555555555682</v>
      </c>
      <c r="AN28" s="74">
        <f>IF(AK28="","",IF(AM28&gt;'[1]М лист'!$C$36,'[1]М лист'!$C$36,AM28))</f>
        <v>0.0005555555555555682</v>
      </c>
      <c r="AO28" s="61"/>
      <c r="AP28" s="75"/>
      <c r="AQ28" s="64">
        <v>0.6541666666666667</v>
      </c>
      <c r="AR28" s="59">
        <f>IF(AQ28="",0,IF(AQ28="",0,IF(AQ28=0,'[1]М лист'!$C$32,IF(AD28=0,0,IF((AQ28-AD28-'[1]М лист'!$D$16)&gt;0,AQ28-AD28-'[1]М лист'!$D$16,0)))))</f>
        <v>0.016666666666666705</v>
      </c>
      <c r="AS28" s="60">
        <f>IF(AQ28="",0,IF(AD28=0,0,IF((AQ28-AD28-'[1]М лист'!$D$16)&gt;0,ABS(AQ28-AD28-'[1]М лист'!$D$16),0)))</f>
        <v>0.016666666666666705</v>
      </c>
      <c r="AT28" s="72"/>
      <c r="AU28" s="76">
        <f t="shared" si="3"/>
        <v>0.03680555555555559</v>
      </c>
      <c r="AV28" s="77">
        <f t="shared" si="11"/>
        <v>0.04275115740740755</v>
      </c>
      <c r="AW28" s="62">
        <v>0.6826388888888889</v>
      </c>
      <c r="AX28" s="58">
        <v>0.6826388888888889</v>
      </c>
      <c r="AY28" s="78">
        <f>IF(AX28="","",IF(AX28="",0,IF(AX28=0,'[1]М лист'!$C$32,ABS(AX28-AW28))))</f>
        <v>0</v>
      </c>
      <c r="AZ28" s="60">
        <f t="shared" si="5"/>
        <v>0</v>
      </c>
      <c r="BA28" s="61"/>
      <c r="BB28" s="79">
        <v>0.0008680555555555555</v>
      </c>
      <c r="BC28" s="61"/>
      <c r="BD28" s="95"/>
      <c r="BE28" s="63">
        <v>0.0006875000000000001</v>
      </c>
      <c r="BF28" s="61"/>
      <c r="BG28" s="71">
        <v>0.7319444444444444</v>
      </c>
      <c r="BH28" s="78">
        <f>IF(BG28="","",IF(BG28="",0,IF(BG28=0,'[1]М лист'!$C$32,IF(AX28=0,0,IF((BG28-AX28-'[1]М лист'!$D$23)&gt;0,BG28-AX28-'[1]М лист'!$D$23,0)))))</f>
        <v>0</v>
      </c>
      <c r="BI28" s="60">
        <f>IF(BG28="","",IF(AX28=0,0,IF((BG28-AX28-'[1]М лист'!$D$23)&gt;0,ABS(BG28-AX28-'[1]М лист'!$D$23),0)))</f>
        <v>0</v>
      </c>
      <c r="BJ28" s="72"/>
      <c r="BK28" s="81">
        <f t="shared" si="6"/>
        <v>0</v>
      </c>
      <c r="BL28" s="82">
        <f t="shared" si="7"/>
        <v>0.0015555555555555557</v>
      </c>
      <c r="BM28" s="82">
        <f t="shared" si="8"/>
        <v>0.0443067129629631</v>
      </c>
      <c r="BN28" s="87">
        <f t="shared" si="9"/>
        <v>0.0430694444444444</v>
      </c>
      <c r="BO28" s="88">
        <f t="shared" si="10"/>
        <v>0.0024490740740741312</v>
      </c>
      <c r="BP28" s="89">
        <v>24</v>
      </c>
      <c r="BQ28" s="90">
        <v>14</v>
      </c>
    </row>
    <row r="29" spans="1:69" ht="17.25" customHeight="1">
      <c r="A29" s="86">
        <v>25</v>
      </c>
      <c r="B29" s="55" t="s">
        <v>77</v>
      </c>
      <c r="C29" s="56" t="s">
        <v>78</v>
      </c>
      <c r="D29" s="56" t="s">
        <v>11</v>
      </c>
      <c r="E29" s="56" t="s">
        <v>79</v>
      </c>
      <c r="F29" s="57">
        <v>2500</v>
      </c>
      <c r="G29" s="57">
        <v>1936</v>
      </c>
      <c r="H29" s="58" t="s">
        <v>160</v>
      </c>
      <c r="I29" s="58" t="s">
        <v>160</v>
      </c>
      <c r="J29" s="59">
        <f>IF(I29="","",IF(I29=0,'[1]М лист'!$C$32,ABS(I29-H29)))</f>
        <v>0</v>
      </c>
      <c r="K29" s="60">
        <f t="shared" si="0"/>
        <v>0</v>
      </c>
      <c r="L29" s="61"/>
      <c r="M29" s="62">
        <v>0.5611111111111111</v>
      </c>
      <c r="N29" s="59">
        <f>IF(M29="","",IF(M29=0,'[1]М лист'!$C$32,IF(I29=0,0,ABS(M29-I29-'[1]М лист'!$D$10))))</f>
        <v>0.0006944444444444316</v>
      </c>
      <c r="O29" s="60">
        <f>IF(M29="","",IF((M29-I29-'[1]М лист'!$D$10)&gt;0,ABS(M29-I29-'[1]М лист'!$D$10),0))</f>
        <v>0</v>
      </c>
      <c r="P29" s="61"/>
      <c r="Q29" s="63">
        <v>0.00021180555555555555</v>
      </c>
      <c r="R29" s="61"/>
      <c r="S29" s="64">
        <v>0</v>
      </c>
      <c r="T29" s="65">
        <f>IF(S29="",0,IF(S29=0,'[1]М лист'!$C$32,IF(M29=0,0,S29-M29)))</f>
        <v>0.006944444444444444</v>
      </c>
      <c r="U29" s="66">
        <f>IF(S29="",0,IF(S29=0,'[1]М лист'!$C$32,IF(T29="",0,IF(T29&lt;('[1]М лист'!$C$37-'[1]М лист'!$C$38),'[1]М лист'!$C$37-'[1]М лист'!$C$38-T29,0))))</f>
        <v>0.006944444444444444</v>
      </c>
      <c r="V29" s="67">
        <v>0</v>
      </c>
      <c r="W29" s="68">
        <f>IF(V29="",0,IF(V29="",0,IF(V29=0,'[1]М лист'!$C$32,IF(M29=0,0,ABS(V29-M29-'[1]М лист'!$D$12)))))</f>
        <v>0.006944444444444444</v>
      </c>
      <c r="X29" s="69">
        <f>IF(V29="",0,IF(M29=0,0,IF((V29-M29-'[1]М лист'!$D$12)&gt;0,ABS(V29-M29-'[1]М лист'!$D$12),0)))</f>
        <v>0</v>
      </c>
      <c r="Y29" s="70"/>
      <c r="Z29" s="71">
        <v>0</v>
      </c>
      <c r="AA29" s="59">
        <f>IF(Z29="",0,IF(Z29="",0,IF(Z29=0,'[1]М лист'!$C$32,IF(V29=0,0,ABS(Z29-V29-'[1]М лист'!$D$13)))))</f>
        <v>0.006944444444444444</v>
      </c>
      <c r="AB29" s="60">
        <f>IF(Z29="",0,IF(V29=0,0,IF((Z29-V29-'[1]М лист'!$D$13)&gt;0,ABS(Z29-V29-'[1]М лист'!$D$13),0)))</f>
        <v>0</v>
      </c>
      <c r="AC29" s="72"/>
      <c r="AD29" s="62"/>
      <c r="AE29" s="73">
        <v>0</v>
      </c>
      <c r="AF29" s="65">
        <f t="shared" si="1"/>
      </c>
      <c r="AG29" s="74">
        <f>IF(AF29="","",IF(('[1]М лист'!$D$14-'[1]М лист'!$C$33-AF29)&gt;'[1]М лист'!C$36,'[1]М лист'!$C$36,IF(AF29&gt;('[1]М лист'!D$14+'[1]М лист'!$C$33),AF29-'[1]М лист'!D$14-'[1]М лист'!$C$33,IF(AF29&lt;('[1]М лист'!$D$14-'[1]М лист'!$C$33),'[1]М лист'!$D$14-'[1]М лист'!$C$33-AF29,0))))</f>
      </c>
      <c r="AH29" s="74">
        <f>IF(AE29="","",IF(AG29&gt;'[1]М лист'!$C$36,'[1]М лист'!$C$36,AG29))</f>
        <v>0.006944444444444444</v>
      </c>
      <c r="AI29" s="61"/>
      <c r="AJ29" s="62"/>
      <c r="AK29" s="73">
        <v>0</v>
      </c>
      <c r="AL29" s="65">
        <f t="shared" si="2"/>
      </c>
      <c r="AM29" s="74">
        <f>IF(AL29="","",IF(AL29&gt;('[1]М лист'!$D$15+'[1]М лист'!$C$33),AL29-'[1]М лист'!$D$15-'[1]М лист'!$C$33,IF(AL29&lt;('[1]М лист'!$D$15-'[1]М лист'!$C$33),'[1]М лист'!$D$15-'[1]М лист'!$C$33-AL29,0)))</f>
      </c>
      <c r="AN29" s="74">
        <f>IF(AK29="","",IF(AM29&gt;'[1]М лист'!$C$36,'[1]М лист'!$C$36,AM29))</f>
        <v>0.006944444444444444</v>
      </c>
      <c r="AO29" s="61"/>
      <c r="AP29" s="75"/>
      <c r="AQ29" s="64">
        <v>0.6597222222222222</v>
      </c>
      <c r="AR29" s="59">
        <f>IF(AQ29="",0,IF(AQ29="",0,IF(AQ29=0,'[1]М лист'!$C$32,IF(AD29=0,0,IF((AQ29-AD29-'[1]М лист'!$D$16)&gt;0,AQ29-AD29-'[1]М лист'!$D$16,0)))))</f>
        <v>0</v>
      </c>
      <c r="AS29" s="60">
        <f>IF(AQ29="",0,IF(AD29=0,0,IF((AQ29-AD29-'[1]М лист'!$D$16)&gt;0,ABS(AQ29-AD29-'[1]М лист'!$D$16),0)))</f>
        <v>0</v>
      </c>
      <c r="AT29" s="72"/>
      <c r="AU29" s="76">
        <f t="shared" si="3"/>
        <v>0</v>
      </c>
      <c r="AV29" s="77">
        <f t="shared" si="11"/>
        <v>0.03562847222222221</v>
      </c>
      <c r="AW29" s="62">
        <v>0.6979166666666666</v>
      </c>
      <c r="AX29" s="58">
        <v>0.6979166666666666</v>
      </c>
      <c r="AY29" s="78">
        <f>IF(AX29="","",IF(AX29="",0,IF(AX29=0,'[1]М лист'!$C$32,ABS(AX29-AW29))))</f>
        <v>0</v>
      </c>
      <c r="AZ29" s="60">
        <f t="shared" si="5"/>
        <v>0</v>
      </c>
      <c r="BA29" s="61"/>
      <c r="BB29" s="79">
        <v>0.0009837962962962964</v>
      </c>
      <c r="BC29" s="61"/>
      <c r="BD29" s="80">
        <v>0.006944444444444444</v>
      </c>
      <c r="BE29" s="63"/>
      <c r="BF29" s="61">
        <v>0.006944444444444444</v>
      </c>
      <c r="BG29" s="71">
        <v>0</v>
      </c>
      <c r="BH29" s="78">
        <f>IF(BG29="","",IF(BG29="",0,IF(BG29=0,'[1]М лист'!$C$32,IF(AX29=0,0,IF((BG29-AX29-'[1]М лист'!$D$23)&gt;0,BG29-AX29-'[1]М лист'!$D$23,0)))))</f>
        <v>0.006944444444444444</v>
      </c>
      <c r="BI29" s="60">
        <f>IF(BG29="","",IF(AX29=0,0,IF((BG29-AX29-'[1]М лист'!$D$23)&gt;0,ABS(BG29-AX29-'[1]М лист'!$D$23),0)))</f>
        <v>0</v>
      </c>
      <c r="BJ29" s="72"/>
      <c r="BK29" s="81">
        <f t="shared" si="6"/>
        <v>0</v>
      </c>
      <c r="BL29" s="82">
        <f t="shared" si="7"/>
        <v>0.02181712962962963</v>
      </c>
      <c r="BM29" s="82">
        <f t="shared" si="8"/>
        <v>0.05744560185185184</v>
      </c>
      <c r="BN29" s="87">
        <f t="shared" si="9"/>
        <v>0.05620833333333314</v>
      </c>
      <c r="BO29" s="88">
        <f t="shared" si="10"/>
        <v>0.013138888888888735</v>
      </c>
      <c r="BP29" s="85">
        <v>25</v>
      </c>
      <c r="BQ29" s="86">
        <v>25</v>
      </c>
    </row>
    <row r="30" spans="1:69" ht="17.25" customHeight="1">
      <c r="A30" s="86">
        <v>31</v>
      </c>
      <c r="B30" s="55" t="s">
        <v>88</v>
      </c>
      <c r="C30" s="56" t="s">
        <v>89</v>
      </c>
      <c r="D30" s="56" t="s">
        <v>2</v>
      </c>
      <c r="E30" s="56" t="s">
        <v>90</v>
      </c>
      <c r="F30" s="97">
        <v>1200</v>
      </c>
      <c r="G30" s="57">
        <v>1967</v>
      </c>
      <c r="H30" s="58">
        <v>0.5395833333333333</v>
      </c>
      <c r="I30" s="58">
        <v>0.5395833333333333</v>
      </c>
      <c r="J30" s="59">
        <f>IF(I30="","",IF(I30=0,'[1]М лист'!$C$32,ABS(I30-H30)))</f>
        <v>0</v>
      </c>
      <c r="K30" s="60">
        <f t="shared" si="0"/>
        <v>0</v>
      </c>
      <c r="L30" s="61"/>
      <c r="M30" s="62">
        <v>0.5805555555555556</v>
      </c>
      <c r="N30" s="59">
        <f>IF(M30="","",IF(M30=0,'[1]М лист'!$C$32,IF(I30=0,0,ABS(M30-I30-'[1]М лист'!$D$10))))</f>
        <v>0.011805555555555635</v>
      </c>
      <c r="O30" s="60">
        <f>IF(M30="","",IF((M30-I30-'[1]М лист'!$D$10)&gt;0,ABS(M30-I30-'[1]М лист'!$D$10),0))</f>
        <v>0.011805555555555635</v>
      </c>
      <c r="P30" s="61"/>
      <c r="Q30" s="63">
        <v>0.00018865740740740743</v>
      </c>
      <c r="R30" s="61"/>
      <c r="S30" s="64">
        <v>0.6034722222222222</v>
      </c>
      <c r="T30" s="65">
        <f>IF(S30="",0,IF(S30=0,'[1]М лист'!$C$32,IF(M30=0,0,S30-M30)))</f>
        <v>0.022916666666666585</v>
      </c>
      <c r="U30" s="66">
        <f>IF(S30="",0,IF(S30=0,'[1]М лист'!$C$32,IF(T30="",0,IF(T30&lt;('[1]М лист'!$C$37-'[1]М лист'!$C$38),'[1]М лист'!$C$37-'[1]М лист'!$C$38-T30,0))))</f>
        <v>0</v>
      </c>
      <c r="V30" s="67">
        <v>0</v>
      </c>
      <c r="W30" s="68">
        <f>IF(V30="",0,IF(V30="",0,IF(V30=0,'[1]М лист'!$C$32,IF(M30=0,0,ABS(V30-M30-'[1]М лист'!$D$12)))))</f>
        <v>0.006944444444444444</v>
      </c>
      <c r="X30" s="69">
        <f>IF(V30="",0,IF(M30=0,0,IF((V30-M30-'[1]М лист'!$D$12)&gt;0,ABS(V30-M30-'[1]М лист'!$D$12),0)))</f>
        <v>0</v>
      </c>
      <c r="Y30" s="70"/>
      <c r="Z30" s="71">
        <v>0</v>
      </c>
      <c r="AA30" s="59">
        <f>IF(Z30="",0,IF(Z30="",0,IF(Z30=0,'[1]М лист'!$C$32,IF(V30=0,0,ABS(Z30-V30-'[1]М лист'!$D$13)))))</f>
        <v>0.006944444444444444</v>
      </c>
      <c r="AB30" s="60">
        <f>IF(Z30="",0,IF(V30=0,0,IF((Z30-V30-'[1]М лист'!$D$13)&gt;0,ABS(Z30-V30-'[1]М лист'!$D$13),0)))</f>
        <v>0</v>
      </c>
      <c r="AC30" s="72"/>
      <c r="AD30" s="62"/>
      <c r="AE30" s="73">
        <v>0</v>
      </c>
      <c r="AF30" s="65">
        <f t="shared" si="1"/>
      </c>
      <c r="AG30" s="74">
        <f>IF(AF30="","",IF(('[1]М лист'!$D$14-'[1]М лист'!$C$33-AF30)&gt;'[1]М лист'!C$36,'[1]М лист'!$C$36,IF(AF30&gt;('[1]М лист'!D$14+'[1]М лист'!$C$33),AF30-'[1]М лист'!D$14-'[1]М лист'!$C$33,IF(AF30&lt;('[1]М лист'!$D$14-'[1]М лист'!$C$33),'[1]М лист'!$D$14-'[1]М лист'!$C$33-AF30,0))))</f>
      </c>
      <c r="AH30" s="74">
        <f>IF(AE30="","",IF(AG30&gt;'[1]М лист'!$C$36,'[1]М лист'!$C$36,AG30))</f>
        <v>0.006944444444444444</v>
      </c>
      <c r="AI30" s="61"/>
      <c r="AJ30" s="62"/>
      <c r="AK30" s="73">
        <v>0</v>
      </c>
      <c r="AL30" s="65">
        <f t="shared" si="2"/>
      </c>
      <c r="AM30" s="74">
        <f>IF(AL30="","",IF(AL30&gt;('[1]М лист'!$D$15+'[1]М лист'!$C$33),AL30-'[1]М лист'!$D$15-'[1]М лист'!$C$33,IF(AL30&lt;('[1]М лист'!$D$15-'[1]М лист'!$C$33),'[1]М лист'!$D$15-'[1]М лист'!$C$33-AL30,0)))</f>
      </c>
      <c r="AN30" s="74">
        <f>IF(AK30="","",IF(AM30&gt;'[1]М лист'!$C$36,'[1]М лист'!$C$36,AM30))</f>
        <v>0.006944444444444444</v>
      </c>
      <c r="AO30" s="61"/>
      <c r="AP30" s="75"/>
      <c r="AQ30" s="64">
        <v>0</v>
      </c>
      <c r="AR30" s="59">
        <f>IF(AQ30="",0,IF(AQ30="",0,IF(AQ30=0,'[1]М лист'!$C$32,IF(AD30=0,0,IF((AQ30-AD30-'[1]М лист'!$D$16)&gt;0,AQ30-AD30-'[1]М лист'!$D$16,0)))))</f>
        <v>0.006944444444444444</v>
      </c>
      <c r="AS30" s="60">
        <f>IF(AQ30="",0,IF(AD30=0,0,IF((AQ30-AD30-'[1]М лист'!$D$16)&gt;0,ABS(AQ30-AD30-'[1]М лист'!$D$16),0)))</f>
        <v>0</v>
      </c>
      <c r="AT30" s="72"/>
      <c r="AU30" s="76">
        <f t="shared" si="3"/>
        <v>0.011805555555555635</v>
      </c>
      <c r="AV30" s="77">
        <f t="shared" si="11"/>
        <v>0.04671643518518527</v>
      </c>
      <c r="AW30" s="62">
        <v>0.7048611111111112</v>
      </c>
      <c r="AX30" s="58">
        <v>0.7048611111111112</v>
      </c>
      <c r="AY30" s="78">
        <f>IF(AX30="","",IF(AX30="",0,IF(AX30=0,'[1]М лист'!$C$32,ABS(AX30-AW30))))</f>
        <v>0</v>
      </c>
      <c r="AZ30" s="60">
        <f t="shared" si="5"/>
        <v>0</v>
      </c>
      <c r="BA30" s="61"/>
      <c r="BB30" s="79">
        <v>0.0008680555555555555</v>
      </c>
      <c r="BC30" s="61"/>
      <c r="BD30" s="80">
        <v>0.006944444444444444</v>
      </c>
      <c r="BE30" s="63">
        <v>0.00041898148148148155</v>
      </c>
      <c r="BF30" s="61"/>
      <c r="BG30" s="71">
        <v>0</v>
      </c>
      <c r="BH30" s="78">
        <f>IF(BG30="","",IF(BG30="",0,IF(BG30=0,'[1]М лист'!$C$32,IF(AX30=0,0,IF((BG30-AX30-'[1]М лист'!$D$23)&gt;0,BG30-AX30-'[1]М лист'!$D$23,0)))))</f>
        <v>0.006944444444444444</v>
      </c>
      <c r="BI30" s="60">
        <f>IF(BG30="","",IF(AX30=0,0,IF((BG30-AX30-'[1]М лист'!$D$23)&gt;0,ABS(BG30-AX30-'[1]М лист'!$D$23),0)))</f>
        <v>0</v>
      </c>
      <c r="BJ30" s="72"/>
      <c r="BK30" s="81">
        <f t="shared" si="6"/>
        <v>0</v>
      </c>
      <c r="BL30" s="82">
        <f t="shared" si="7"/>
        <v>0.015175925925925926</v>
      </c>
      <c r="BM30" s="82">
        <f t="shared" si="8"/>
        <v>0.0618923611111112</v>
      </c>
      <c r="BN30" s="87">
        <f t="shared" si="9"/>
        <v>0.0606550925925925</v>
      </c>
      <c r="BO30" s="88">
        <f t="shared" si="10"/>
        <v>0.0044467592592593586</v>
      </c>
      <c r="BP30" s="89">
        <v>26</v>
      </c>
      <c r="BQ30" s="86">
        <v>31</v>
      </c>
    </row>
    <row r="31" spans="1:69" ht="17.25" customHeight="1" thickBot="1">
      <c r="A31" s="86">
        <v>28</v>
      </c>
      <c r="B31" s="55" t="s">
        <v>59</v>
      </c>
      <c r="C31" s="56" t="s">
        <v>60</v>
      </c>
      <c r="D31" s="56" t="s">
        <v>61</v>
      </c>
      <c r="E31" s="56" t="s">
        <v>62</v>
      </c>
      <c r="F31" s="57">
        <v>1500</v>
      </c>
      <c r="G31" s="57">
        <v>1955</v>
      </c>
      <c r="H31" s="58" t="s">
        <v>161</v>
      </c>
      <c r="I31" s="58" t="s">
        <v>161</v>
      </c>
      <c r="J31" s="59">
        <f>IF(I31="","",IF(I31=0,'[1]М лист'!$C$32,ABS(I31-H31)))</f>
        <v>0</v>
      </c>
      <c r="K31" s="60">
        <f t="shared" si="0"/>
        <v>0</v>
      </c>
      <c r="L31" s="61"/>
      <c r="M31" s="62">
        <v>0.579861111111111</v>
      </c>
      <c r="N31" s="59">
        <f>IF(M31="","",IF(M31=0,'[1]М лист'!$C$32,IF(I31=0,0,ABS(M31-I31-'[1]М лист'!$D$10))))</f>
        <v>0.01388888888888885</v>
      </c>
      <c r="O31" s="60">
        <f>IF(M31="","",IF((M31-I31-'[1]М лист'!$D$10)&gt;0,ABS(M31-I31-'[1]М лист'!$D$10),0))</f>
        <v>0.01388888888888885</v>
      </c>
      <c r="P31" s="61"/>
      <c r="Q31" s="63">
        <v>0.00021875</v>
      </c>
      <c r="R31" s="61"/>
      <c r="S31" s="64">
        <v>0</v>
      </c>
      <c r="T31" s="65">
        <f>IF(S31="",0,IF(S31=0,'[1]М лист'!$C$32,IF(M31=0,0,S31-M31)))</f>
        <v>0.006944444444444444</v>
      </c>
      <c r="U31" s="66">
        <f>IF(S31="",0,IF(S31=0,'[1]М лист'!$C$32,IF(T31="",0,IF(T31&lt;('[1]М лист'!$C$37-'[1]М лист'!$C$38),'[1]М лист'!$C$37-'[1]М лист'!$C$38-T31,0))))</f>
        <v>0.006944444444444444</v>
      </c>
      <c r="V31" s="67">
        <v>0</v>
      </c>
      <c r="W31" s="68">
        <f>IF(V31="",0,IF(V31="",0,IF(V31=0,'[1]М лист'!$C$32,IF(M31=0,0,ABS(V31-M31-'[1]М лист'!$D$12)))))</f>
        <v>0.006944444444444444</v>
      </c>
      <c r="X31" s="69">
        <f>IF(V31="",0,IF(M31=0,0,IF((V31-M31-'[1]М лист'!$D$12)&gt;0,ABS(V31-M31-'[1]М лист'!$D$12),0)))</f>
        <v>0</v>
      </c>
      <c r="Y31" s="70"/>
      <c r="Z31" s="71">
        <v>0</v>
      </c>
      <c r="AA31" s="59">
        <f>IF(Z31="",0,IF(Z31="",0,IF(Z31=0,'[1]М лист'!$C$32,IF(V31=0,0,ABS(Z31-V31-'[1]М лист'!$D$13)))))</f>
        <v>0.006944444444444444</v>
      </c>
      <c r="AB31" s="60">
        <f>IF(Z31="",0,IF(V31=0,0,IF((Z31-V31-'[1]М лист'!$D$13)&gt;0,ABS(Z31-V31-'[1]М лист'!$D$13),0)))</f>
        <v>0</v>
      </c>
      <c r="AC31" s="72"/>
      <c r="AD31" s="62"/>
      <c r="AE31" s="73">
        <v>0</v>
      </c>
      <c r="AF31" s="65">
        <f t="shared" si="1"/>
      </c>
      <c r="AG31" s="74">
        <f>IF(AF31="","",IF(('[1]М лист'!$D$14-'[1]М лист'!$C$33-AF31)&gt;'[1]М лист'!C$36,'[1]М лист'!$C$36,IF(AF31&gt;('[1]М лист'!D$14+'[1]М лист'!$C$33),AF31-'[1]М лист'!D$14-'[1]М лист'!$C$33,IF(AF31&lt;('[1]М лист'!$D$14-'[1]М лист'!$C$33),'[1]М лист'!$D$14-'[1]М лист'!$C$33-AF31,0))))</f>
      </c>
      <c r="AH31" s="74">
        <f>IF(AE31="","",IF(AG31&gt;'[1]М лист'!$C$36,'[1]М лист'!$C$36,AG31))</f>
        <v>0.006944444444444444</v>
      </c>
      <c r="AI31" s="61"/>
      <c r="AJ31" s="62"/>
      <c r="AK31" s="73">
        <v>0</v>
      </c>
      <c r="AL31" s="65">
        <f t="shared" si="2"/>
      </c>
      <c r="AM31" s="74">
        <f>IF(AL31="","",IF(AL31&gt;('[1]М лист'!$D$15+'[1]М лист'!$C$33),AL31-'[1]М лист'!$D$15-'[1]М лист'!$C$33,IF(AL31&lt;('[1]М лист'!$D$15-'[1]М лист'!$C$33),'[1]М лист'!$D$15-'[1]М лист'!$C$33-AL31,0)))</f>
      </c>
      <c r="AN31" s="74">
        <f>IF(AK31="","",IF(AM31&gt;'[1]М лист'!$C$36,'[1]М лист'!$C$36,AM31))</f>
        <v>0.006944444444444444</v>
      </c>
      <c r="AO31" s="61"/>
      <c r="AP31" s="75"/>
      <c r="AQ31" s="64">
        <v>0.6597222222222222</v>
      </c>
      <c r="AR31" s="59">
        <f>IF(AQ31="",0,IF(AQ31="",0,IF(AQ31=0,'[1]М лист'!$C$32,IF(AD31=0,0,IF((AQ31-AD31-'[1]М лист'!$D$16)&gt;0,AQ31-AD31-'[1]М лист'!$D$16,0)))))</f>
        <v>0</v>
      </c>
      <c r="AS31" s="60">
        <f>IF(AQ31="",0,IF(AD31=0,0,IF((AQ31-AD31-'[1]М лист'!$D$16)&gt;0,ABS(AQ31-AD31-'[1]М лист'!$D$16),0)))</f>
        <v>0</v>
      </c>
      <c r="AT31" s="72"/>
      <c r="AU31" s="76">
        <f t="shared" si="3"/>
        <v>0.01388888888888885</v>
      </c>
      <c r="AV31" s="77">
        <f t="shared" si="11"/>
        <v>0.04882986111111108</v>
      </c>
      <c r="AW31" s="62">
        <v>0.7020833333333334</v>
      </c>
      <c r="AX31" s="58">
        <v>0.7020833333333334</v>
      </c>
      <c r="AY31" s="78">
        <f>IF(AX31="","",IF(AX31="",0,IF(AX31=0,'[1]М лист'!$C$32,ABS(AX31-AW31))))</f>
        <v>0</v>
      </c>
      <c r="AZ31" s="60">
        <f t="shared" si="5"/>
        <v>0</v>
      </c>
      <c r="BA31" s="61"/>
      <c r="BB31" s="79">
        <v>0.0008101851851851852</v>
      </c>
      <c r="BC31" s="61"/>
      <c r="BD31" s="95">
        <v>0.006944444444444444</v>
      </c>
      <c r="BE31" s="63"/>
      <c r="BF31" s="61">
        <v>0.006944444444444444</v>
      </c>
      <c r="BG31" s="71">
        <v>0</v>
      </c>
      <c r="BH31" s="78">
        <f>IF(BG31="","",IF(BG31="",0,IF(BG31=0,'[1]М лист'!$C$32,IF(AX31=0,0,IF((BG31-AX31-'[1]М лист'!$D$23)&gt;0,BG31-AX31-'[1]М лист'!$D$23,0)))))</f>
        <v>0.006944444444444444</v>
      </c>
      <c r="BI31" s="60">
        <f>IF(BG31="","",IF(AX31=0,0,IF((BG31-AX31-'[1]М лист'!$D$23)&gt;0,ABS(BG31-AX31-'[1]М лист'!$D$23),0)))</f>
        <v>0</v>
      </c>
      <c r="BJ31" s="72"/>
      <c r="BK31" s="81">
        <f t="shared" si="6"/>
        <v>0</v>
      </c>
      <c r="BL31" s="82">
        <f t="shared" si="7"/>
        <v>0.021643518518518517</v>
      </c>
      <c r="BM31" s="82">
        <f t="shared" si="8"/>
        <v>0.0704733796296296</v>
      </c>
      <c r="BN31" s="87">
        <f t="shared" si="9"/>
        <v>0.0692361111111109</v>
      </c>
      <c r="BO31" s="88">
        <f t="shared" si="10"/>
        <v>0.008581018518518405</v>
      </c>
      <c r="BP31" s="85">
        <v>27</v>
      </c>
      <c r="BQ31" s="86">
        <v>28</v>
      </c>
    </row>
    <row r="32" spans="1:69" ht="17.25" customHeight="1">
      <c r="A32" s="90">
        <v>16</v>
      </c>
      <c r="B32" s="55" t="s">
        <v>37</v>
      </c>
      <c r="C32" s="56" t="s">
        <v>38</v>
      </c>
      <c r="D32" s="56" t="s">
        <v>2</v>
      </c>
      <c r="E32" s="56" t="s">
        <v>39</v>
      </c>
      <c r="F32" s="57">
        <v>5100</v>
      </c>
      <c r="G32" s="57">
        <v>1956</v>
      </c>
      <c r="H32" s="58" t="s">
        <v>162</v>
      </c>
      <c r="I32" s="58" t="s">
        <v>162</v>
      </c>
      <c r="J32" s="59">
        <f>IF(I32="","",IF(I32=0,'[1]М лист'!$C$32,ABS(I32-H32)))</f>
        <v>0</v>
      </c>
      <c r="K32" s="60">
        <f t="shared" si="0"/>
        <v>0</v>
      </c>
      <c r="L32" s="61"/>
      <c r="M32" s="62">
        <v>0.5493055555555556</v>
      </c>
      <c r="N32" s="59">
        <f>IF(M32="","",IF(M32=0,'[1]М лист'!$C$32,IF(I32=0,0,ABS(M32-I32-'[1]М лист'!$D$10))))</f>
        <v>1.214306433183765E-16</v>
      </c>
      <c r="O32" s="60">
        <f>IF(M32="","",IF((M32-I32-'[1]М лист'!$D$10)&gt;0,ABS(M32-I32-'[1]М лист'!$D$10),0))</f>
        <v>1.214306433183765E-16</v>
      </c>
      <c r="P32" s="61"/>
      <c r="Q32" s="63">
        <v>0.0003032407407407407</v>
      </c>
      <c r="R32" s="61">
        <v>5.7870370370370366E-05</v>
      </c>
      <c r="S32" s="64">
        <v>0.5854166666666667</v>
      </c>
      <c r="T32" s="65">
        <f>IF(S32="",0,IF(S32=0,'[1]М лист'!$C$32,IF(M32=0,0,S32-M32)))</f>
        <v>0.036111111111111094</v>
      </c>
      <c r="U32" s="66">
        <f>IF(S32="",0,IF(S32=0,'[1]М лист'!$C$32,IF(T32="",0,IF(T32&lt;('[1]М лист'!$C$37-'[1]М лист'!$C$38),'[1]М лист'!$C$37-'[1]М лист'!$C$38-T32,0))))</f>
        <v>0</v>
      </c>
      <c r="V32" s="67">
        <v>0.5902777777777778</v>
      </c>
      <c r="W32" s="68">
        <f>IF(V32="",0,IF(V32="",0,IF(V32=0,'[1]М лист'!$C$32,IF(M32=0,0,ABS(V32-M32-'[1]М лист'!$D$12)))))</f>
        <v>0.019444444444444407</v>
      </c>
      <c r="X32" s="69">
        <f>IF(V32="",0,IF(M32=0,0,IF((V32-M32-'[1]М лист'!$D$12)&gt;0,ABS(V32-M32-'[1]М лист'!$D$12),0)))</f>
        <v>0.019444444444444407</v>
      </c>
      <c r="Y32" s="70"/>
      <c r="Z32" s="71">
        <v>0</v>
      </c>
      <c r="AA32" s="59">
        <f>IF(Z32="",0,IF(Z32="",0,IF(Z32=0,'[1]М лист'!$C$32,IF(V32=0,0,ABS(Z32-V32-'[1]М лист'!$D$13)))))</f>
        <v>0.006944444444444444</v>
      </c>
      <c r="AB32" s="60">
        <f>IF(Z32="",0,IF(V32=0,0,IF((Z32-V32-'[1]М лист'!$D$13)&gt;0,ABS(Z32-V32-'[1]М лист'!$D$13),0)))</f>
        <v>0</v>
      </c>
      <c r="AC32" s="72"/>
      <c r="AD32" s="62"/>
      <c r="AE32" s="73">
        <v>0</v>
      </c>
      <c r="AF32" s="65">
        <f t="shared" si="1"/>
      </c>
      <c r="AG32" s="74">
        <f>IF(AF32="","",IF(('[1]М лист'!$D$14-'[1]М лист'!$C$33-AF32)&gt;'[1]М лист'!C$36,'[1]М лист'!$C$36,IF(AF32&gt;('[1]М лист'!D$14+'[1]М лист'!$C$33),AF32-'[1]М лист'!D$14-'[1]М лист'!$C$33,IF(AF32&lt;('[1]М лист'!$D$14-'[1]М лист'!$C$33),'[1]М лист'!$D$14-'[1]М лист'!$C$33-AF32,0))))</f>
      </c>
      <c r="AH32" s="74">
        <f>IF(AE32="","",IF(AG32&gt;'[1]М лист'!$C$36,'[1]М лист'!$C$36,AG32))</f>
        <v>0.006944444444444444</v>
      </c>
      <c r="AI32" s="61"/>
      <c r="AJ32" s="62"/>
      <c r="AK32" s="73">
        <v>0</v>
      </c>
      <c r="AL32" s="65">
        <f t="shared" si="2"/>
      </c>
      <c r="AM32" s="74">
        <f>IF(AL32="","",IF(AL32&gt;('[1]М лист'!$D$15+'[1]М лист'!$C$33),AL32-'[1]М лист'!$D$15-'[1]М лист'!$C$33,IF(AL32&lt;('[1]М лист'!$D$15-'[1]М лист'!$C$33),'[1]М лист'!$D$15-'[1]М лист'!$C$33-AL32,0)))</f>
      </c>
      <c r="AN32" s="74">
        <f>IF(AK32="","",IF(AM32&gt;'[1]М лист'!$C$36,'[1]М лист'!$C$36,AM32))</f>
        <v>0.006944444444444444</v>
      </c>
      <c r="AO32" s="61"/>
      <c r="AP32" s="75"/>
      <c r="AQ32" s="64">
        <v>0</v>
      </c>
      <c r="AR32" s="59">
        <f>IF(AQ32="",0,IF(AQ32="",0,IF(AQ32=0,'[1]М лист'!$C$32,IF(AD32=0,0,IF((AQ32-AD32-'[1]М лист'!$D$16)&gt;0,AQ32-AD32-'[1]М лист'!$D$16,0)))))</f>
        <v>0.006944444444444444</v>
      </c>
      <c r="AS32" s="60">
        <f>IF(AQ32="",0,IF(AD32=0,0,IF((AQ32-AD32-'[1]М лист'!$D$16)&gt;0,ABS(AQ32-AD32-'[1]М лист'!$D$16),0)))</f>
        <v>0</v>
      </c>
      <c r="AT32" s="72"/>
      <c r="AU32" s="76">
        <f t="shared" si="3"/>
        <v>0.019444444444444528</v>
      </c>
      <c r="AV32" s="77">
        <f t="shared" si="11"/>
        <v>0.04758333333333342</v>
      </c>
      <c r="AW32" s="62">
        <v>0.6854166666666667</v>
      </c>
      <c r="AX32" s="62">
        <v>0</v>
      </c>
      <c r="AY32" s="78">
        <f>IF(AX32="","",IF(AX32="",0,IF(AX32=0,'[1]М лист'!$C$32,ABS(AX32-AW32))))</f>
        <v>0.006944444444444444</v>
      </c>
      <c r="AZ32" s="60">
        <f t="shared" si="5"/>
        <v>0</v>
      </c>
      <c r="BA32" s="61"/>
      <c r="BB32" s="79">
        <v>0.006944444444444444</v>
      </c>
      <c r="BC32" s="61"/>
      <c r="BD32" s="80">
        <v>0.006944444444444444</v>
      </c>
      <c r="BE32" s="63"/>
      <c r="BF32" s="61">
        <v>0.006944444444444444</v>
      </c>
      <c r="BG32" s="71">
        <v>0</v>
      </c>
      <c r="BH32" s="78">
        <f>IF(BG32="","",IF(BG32="",0,IF(BG32=0,'[1]М лист'!$C$32,IF(AX32=0,0,IF((BG32-AX32-'[1]М лист'!$D$23)&gt;0,BG32-AX32-'[1]М лист'!$D$23,0)))))</f>
        <v>0.006944444444444444</v>
      </c>
      <c r="BI32" s="60">
        <f>IF(BG32="","",IF(AX32=0,0,IF((BG32-AX32-'[1]М лист'!$D$23)&gt;0,ABS(BG32-AX32-'[1]М лист'!$D$23),0)))</f>
        <v>0</v>
      </c>
      <c r="BJ32" s="72"/>
      <c r="BK32" s="81">
        <f t="shared" si="6"/>
        <v>0</v>
      </c>
      <c r="BL32" s="82">
        <f t="shared" si="7"/>
        <v>0.034722222222222224</v>
      </c>
      <c r="BM32" s="82">
        <f t="shared" si="8"/>
        <v>0.08230555555555565</v>
      </c>
      <c r="BN32" s="87">
        <f t="shared" si="9"/>
        <v>0.08106828703703695</v>
      </c>
      <c r="BO32" s="88">
        <f t="shared" si="10"/>
        <v>0.011832175925926045</v>
      </c>
      <c r="BP32" s="89">
        <v>28</v>
      </c>
      <c r="BQ32" s="90">
        <v>16</v>
      </c>
    </row>
    <row r="33" spans="1:69" ht="17.25" customHeight="1" thickBot="1">
      <c r="A33" s="98">
        <v>13</v>
      </c>
      <c r="B33" s="99" t="s">
        <v>80</v>
      </c>
      <c r="C33" s="100" t="s">
        <v>81</v>
      </c>
      <c r="D33" s="100" t="s">
        <v>2</v>
      </c>
      <c r="E33" s="100" t="s">
        <v>82</v>
      </c>
      <c r="F33" s="101">
        <v>3400</v>
      </c>
      <c r="G33" s="102">
        <v>1943</v>
      </c>
      <c r="H33" s="103" t="s">
        <v>163</v>
      </c>
      <c r="I33" s="104" t="s">
        <v>163</v>
      </c>
      <c r="J33" s="105">
        <f>IF(I33="","",IF(I33=0,'[1]М лист'!$C$32,ABS(I33-H33)))</f>
        <v>0</v>
      </c>
      <c r="K33" s="106">
        <f t="shared" si="0"/>
        <v>0</v>
      </c>
      <c r="L33" s="107"/>
      <c r="M33" s="108">
        <v>0.5458333333333333</v>
      </c>
      <c r="N33" s="105">
        <f>IF(M33="","",IF(M33=0,'[1]М лист'!$C$32,IF(I33=0,0,ABS(M33-I33-'[1]М лист'!$D$10))))</f>
        <v>0.0006944444444444524</v>
      </c>
      <c r="O33" s="106">
        <f>IF(M33="","",IF((M33-I33-'[1]М лист'!$D$10)&gt;0,ABS(M33-I33-'[1]М лист'!$D$10),0))</f>
        <v>0.0006944444444444524</v>
      </c>
      <c r="P33" s="107"/>
      <c r="Q33" s="109">
        <v>0.00025810185185185186</v>
      </c>
      <c r="R33" s="107" t="s">
        <v>164</v>
      </c>
      <c r="S33" s="110"/>
      <c r="T33" s="111"/>
      <c r="U33" s="112"/>
      <c r="V33" s="113"/>
      <c r="W33" s="114"/>
      <c r="X33" s="115"/>
      <c r="Y33" s="116"/>
      <c r="Z33" s="104">
        <v>0</v>
      </c>
      <c r="AA33" s="117"/>
      <c r="AB33" s="118"/>
      <c r="AC33" s="119"/>
      <c r="AD33" s="108"/>
      <c r="AE33" s="120"/>
      <c r="AF33" s="121"/>
      <c r="AG33" s="122"/>
      <c r="AH33" s="122"/>
      <c r="AI33" s="107"/>
      <c r="AJ33" s="108"/>
      <c r="AK33" s="120"/>
      <c r="AL33" s="120"/>
      <c r="AM33" s="122"/>
      <c r="AN33" s="120"/>
      <c r="AO33" s="107"/>
      <c r="AP33" s="123"/>
      <c r="AQ33" s="110"/>
      <c r="AR33" s="124"/>
      <c r="AS33" s="60">
        <f>IF(AQ33="",0,IF(AD33=0,0,IF((AQ33-AD33-'[1]М лист'!$D$16)&gt;0,ABS(AQ33-AD33-'[1]М лист'!$D$16),0)))</f>
        <v>0</v>
      </c>
      <c r="AT33" s="119"/>
      <c r="AU33" s="125"/>
      <c r="AV33" s="126" t="s">
        <v>165</v>
      </c>
      <c r="AW33" s="108"/>
      <c r="AX33" s="108"/>
      <c r="AY33" s="127">
        <f>IF(AX33="","",IF(AX33="",0,IF(AX33=0,'[1]М лист'!$C$32,ABS(AX33-AW33))))</f>
      </c>
      <c r="AZ33" s="106">
        <f t="shared" si="5"/>
      </c>
      <c r="BA33" s="107"/>
      <c r="BB33" s="128"/>
      <c r="BC33" s="107"/>
      <c r="BD33" s="129"/>
      <c r="BE33" s="109"/>
      <c r="BF33" s="107"/>
      <c r="BG33" s="104"/>
      <c r="BH33" s="127">
        <f>IF(BG33="","",IF(BG33="",0,IF(BG33=0,'[1]М лист'!$C$32,IF(AX33=0,0,IF((BG33-AX33-'[1]М лист'!$D$23)&gt;0,BG33-AX33-'[1]М лист'!$D$23,0)))))</f>
      </c>
      <c r="BI33" s="106">
        <f>IF(BG33="","",IF(AX33=0,0,IF((BG33-AX33-'[1]М лист'!$D$23)&gt;0,ABS(BG33-AX33-'[1]М лист'!$D$23),0)))</f>
      </c>
      <c r="BJ33" s="119"/>
      <c r="BK33" s="130"/>
      <c r="BL33" s="131"/>
      <c r="BM33" s="131" t="s">
        <v>165</v>
      </c>
      <c r="BN33" s="131"/>
      <c r="BO33" s="131"/>
      <c r="BP33" s="131"/>
      <c r="BQ33" s="98">
        <v>13</v>
      </c>
    </row>
    <row r="34" ht="12.75"/>
    <row r="35" ht="12.75"/>
  </sheetData>
  <mergeCells count="31">
    <mergeCell ref="BQ1:BQ3"/>
    <mergeCell ref="AW1:BL1"/>
    <mergeCell ref="BG2:BJ2"/>
    <mergeCell ref="AU2:AV2"/>
    <mergeCell ref="BK2:BL2"/>
    <mergeCell ref="BE2:BF2"/>
    <mergeCell ref="BN2:BN3"/>
    <mergeCell ref="BO2:BO3"/>
    <mergeCell ref="BP2:BP3"/>
    <mergeCell ref="BM2:BM3"/>
    <mergeCell ref="H2:L2"/>
    <mergeCell ref="Z2:AC2"/>
    <mergeCell ref="AQ2:AT2"/>
    <mergeCell ref="H1:AV1"/>
    <mergeCell ref="V2:Y2"/>
    <mergeCell ref="M2:P2"/>
    <mergeCell ref="S2:U2"/>
    <mergeCell ref="A1:A3"/>
    <mergeCell ref="F1:F3"/>
    <mergeCell ref="G1:G3"/>
    <mergeCell ref="E1:E3"/>
    <mergeCell ref="D1:D3"/>
    <mergeCell ref="C1:C3"/>
    <mergeCell ref="B1:B3"/>
    <mergeCell ref="BE4:BF4"/>
    <mergeCell ref="Q4:R4"/>
    <mergeCell ref="AW2:BA2"/>
    <mergeCell ref="BB2:BC2"/>
    <mergeCell ref="Q2:R2"/>
    <mergeCell ref="AD2:AI2"/>
    <mergeCell ref="AJ2:AO2"/>
  </mergeCells>
  <conditionalFormatting sqref="N5:N33 AA5:AA33 W5:W33 X17 X15">
    <cfRule type="expression" priority="1" dxfId="0" stopIfTrue="1">
      <formula>O5&gt;0</formula>
    </cfRule>
  </conditionalFormatting>
  <conditionalFormatting sqref="AR5:AR15 AR17:AR33">
    <cfRule type="expression" priority="2" dxfId="0" stopIfTrue="1">
      <formula>$AS5&gt;0</formula>
    </cfRule>
  </conditionalFormatting>
  <conditionalFormatting sqref="AY5:AY33 J5:J33">
    <cfRule type="expression" priority="3" dxfId="0" stopIfTrue="1">
      <formula>I5&gt;H5</formula>
    </cfRule>
  </conditionalFormatting>
  <conditionalFormatting sqref="BK5:BK33">
    <cfRule type="cellIs" priority="4" dxfId="1" operator="greaterThanOrEqual" stopIfTrue="1">
      <formula>$AU$4</formula>
    </cfRule>
  </conditionalFormatting>
  <conditionalFormatting sqref="AU5:AU33">
    <cfRule type="cellIs" priority="5" dxfId="1" operator="greaterThan" stopIfTrue="1">
      <formula>$AU$4</formula>
    </cfRule>
  </conditionalFormatting>
  <conditionalFormatting sqref="BH5:BH33">
    <cfRule type="expression" priority="6" dxfId="0" stopIfTrue="1">
      <formula>$BI$5&gt;0</formula>
    </cfRule>
  </conditionalFormatting>
  <printOptions/>
  <pageMargins left="0.1968503937007874" right="0.1968503937007874" top="0.984251968503937" bottom="0.984251968503937" header="0.1968503937007874" footer="0.1968503937007874"/>
  <pageSetup horizontalDpi="300" verticalDpi="300" orientation="portrait" paperSize="9" r:id="rId4"/>
  <headerFooter alignWithMargins="0"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Twixels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Twix</dc:creator>
  <cp:keywords/>
  <dc:description/>
  <cp:lastModifiedBy>DDV</cp:lastModifiedBy>
  <cp:lastPrinted>2011-07-02T08:42:46Z</cp:lastPrinted>
  <dcterms:created xsi:type="dcterms:W3CDTF">2011-05-11T20:20:49Z</dcterms:created>
  <dcterms:modified xsi:type="dcterms:W3CDTF">2011-07-03T07:17:15Z</dcterms:modified>
  <cp:category/>
  <cp:version/>
  <cp:contentType/>
  <cp:contentStatus/>
</cp:coreProperties>
</file>